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615"/>
  <workbookPr date1904="1"/>
  <mc:AlternateContent xmlns:mc="http://schemas.openxmlformats.org/markup-compatibility/2006">
    <mc:Choice Requires="x15">
      <x15ac:absPath xmlns:x15ac="http://schemas.microsoft.com/office/spreadsheetml/2010/11/ac" url="/Users/ilseu/Desktop/"/>
    </mc:Choice>
  </mc:AlternateContent>
  <xr:revisionPtr revIDLastSave="0" documentId="8_{4CC9B087-5E73-1B40-A52E-FACAD3C9EDCC}" xr6:coauthVersionLast="36" xr6:coauthVersionMax="36" xr10:uidLastSave="{00000000-0000-0000-0000-000000000000}"/>
  <workbookProtection workbookPassword="98EB" lockStructure="1"/>
  <bookViews>
    <workbookView xWindow="18360" yWindow="4400" windowWidth="30620" windowHeight="22780"/>
  </bookViews>
  <sheets>
    <sheet name="toxicity calculator" sheetId="1" r:id="rId1"/>
    <sheet name="Compound Data" sheetId="2" r:id="rId2"/>
    <sheet name="Probit Analysis" sheetId="3" r:id="rId3"/>
  </sheets>
  <definedNames>
    <definedName name="_ATPRegress_Dlg_Results" localSheetId="0" hidden="1">{2;#N/A;"R4C11:R9C11";#N/A;"R4C13:R9C13";FALSE;TRUE;TRUE;95;#N/A;#N/A;"R46C9";#N/A;FALSE;FALSE;FALSE;FALSE;#N/A;"";#N/A;FALSE;#N/A;"";#N/A;#N/A;#N/A}</definedName>
    <definedName name="_ATPRegress_Dlg_Types" localSheetId="0" hidden="1">{"Excel Help!1802";5;10;5;10;13;13;13;8;5;5;10;14;13;13;13;13;5;10;14;13;5;10;1;2;24}</definedName>
    <definedName name="_ATPRegress_Range1" localSheetId="0" hidden="1">'Probit Analysis'!$D$6:$D$11</definedName>
    <definedName name="_ATPRegress_Range2" localSheetId="0" hidden="1">'Probit Analysis'!$F$6:$F$11</definedName>
    <definedName name="_ATPRegress_Range3" localSheetId="0" hidden="1">'toxicity calculator'!$O$50</definedName>
    <definedName name="_ATPRegress_Range4" localSheetId="0" hidden="1">"="</definedName>
    <definedName name="_ATPRegress_Range5" localSheetId="0" hidden="1">"="</definedName>
    <definedName name="AcPerHa">'toxicity calculator'!$J$4</definedName>
    <definedName name="Applied_Dose">'Probit Analysis'!$B$5:$B$16</definedName>
    <definedName name="chartlabel">'Probit Analysis'!$H$5</definedName>
    <definedName name="dose">'Probit Analysis'!$B$6:$B$16</definedName>
    <definedName name="factor">'toxicity calculator'!$E$5:$E$15</definedName>
    <definedName name="FieldRate">'toxicity calculator'!$D$5:$D$15</definedName>
    <definedName name="fit">'Probit Analysis'!$G$5:$G$16</definedName>
    <definedName name="fitprobits">'Probit Analysis'!$F$5:$F$16</definedName>
    <definedName name="halflife">'toxicity calculator'!$K$15:$K$21</definedName>
    <definedName name="hrs">'toxicity calculator'!$J$15:$J$21</definedName>
    <definedName name="LbsPerKg">'toxicity calculator'!$K$4</definedName>
    <definedName name="LCShown">'Probit Analysis'!$A$5</definedName>
    <definedName name="_LD50">'toxicity calculator'!$B$5:$B$15</definedName>
    <definedName name="logdose">'Probit Analysis'!$D$6:$D$16</definedName>
    <definedName name="Newfactor">'toxicity calculator'!$L$15:$L$21</definedName>
    <definedName name="nscores">'Probit Analysis'!$E$6:$E$16</definedName>
    <definedName name="pctmort">'Probit Analysis'!$C$6:$C$16</definedName>
    <definedName name="probits">'Probit Analysis'!$F$6:$F$16</definedName>
    <definedName name="slope">'toxicity calculator'!$C$5:$C$15</definedName>
    <definedName name="TofExposure">'toxicity calculator'!$J$15:$J$21</definedName>
  </definedNames>
  <calcPr calcId="181029"/>
</workbook>
</file>

<file path=xl/calcChain.xml><?xml version="1.0" encoding="utf-8"?>
<calcChain xmlns="http://schemas.openxmlformats.org/spreadsheetml/2006/main">
  <c r="A5" i="3" l="1"/>
  <c r="H5" i="3" s="1"/>
  <c r="E5" i="3"/>
  <c r="F5" i="3" s="1"/>
  <c r="G5" i="3" s="1"/>
  <c r="B5" i="3" s="1"/>
  <c r="D6" i="3"/>
  <c r="G6" i="3" s="1"/>
  <c r="E6" i="3"/>
  <c r="F6" i="3"/>
  <c r="D7" i="3"/>
  <c r="E7" i="3"/>
  <c r="F7" i="3"/>
  <c r="D8" i="3"/>
  <c r="E8" i="3"/>
  <c r="F8" i="3"/>
  <c r="D9" i="3"/>
  <c r="E9" i="3"/>
  <c r="F9" i="3"/>
  <c r="D10" i="3"/>
  <c r="E10" i="3"/>
  <c r="F10" i="3"/>
  <c r="G10" i="3"/>
  <c r="D11" i="3"/>
  <c r="E11" i="3"/>
  <c r="F11" i="3"/>
  <c r="G11" i="3"/>
  <c r="D12" i="3"/>
  <c r="E12" i="3"/>
  <c r="F12" i="3"/>
  <c r="G12" i="3"/>
  <c r="D13" i="3"/>
  <c r="E13" i="3"/>
  <c r="F13" i="3"/>
  <c r="G13" i="3"/>
  <c r="D14" i="3"/>
  <c r="E14" i="3"/>
  <c r="F14" i="3"/>
  <c r="G14" i="3"/>
  <c r="D15" i="3"/>
  <c r="E15" i="3"/>
  <c r="F15" i="3"/>
  <c r="G15" i="3"/>
  <c r="D16" i="3"/>
  <c r="E16" i="3"/>
  <c r="F16" i="3"/>
  <c r="G16" i="3"/>
  <c r="B18" i="3" a="1"/>
  <c r="B19" i="3" s="1"/>
  <c r="E5" i="1"/>
  <c r="F5" i="1" s="1"/>
  <c r="G5" i="1" s="1"/>
  <c r="E6" i="1"/>
  <c r="F6" i="1" s="1"/>
  <c r="G6" i="1" s="1"/>
  <c r="K6" i="1"/>
  <c r="E7" i="1"/>
  <c r="F7" i="1" s="1"/>
  <c r="G7" i="1" s="1"/>
  <c r="K7" i="1"/>
  <c r="E8" i="1"/>
  <c r="F8" i="1" s="1"/>
  <c r="G8" i="1" s="1"/>
  <c r="K8" i="1"/>
  <c r="E9" i="1"/>
  <c r="F9" i="1" s="1"/>
  <c r="G9" i="1" s="1"/>
  <c r="K9" i="1"/>
  <c r="E10" i="1"/>
  <c r="F10" i="1" s="1"/>
  <c r="G10" i="1" s="1"/>
  <c r="E11" i="1"/>
  <c r="F11" i="1"/>
  <c r="G11" i="1" s="1"/>
  <c r="E12" i="1"/>
  <c r="F12" i="1"/>
  <c r="G12" i="1"/>
  <c r="E13" i="1"/>
  <c r="F13" i="1" s="1"/>
  <c r="G13" i="1" s="1"/>
  <c r="E14" i="1"/>
  <c r="F14" i="1" s="1"/>
  <c r="G14" i="1" s="1"/>
  <c r="E15" i="1"/>
  <c r="F15" i="1"/>
  <c r="G15" i="1" s="1"/>
  <c r="L15" i="1"/>
  <c r="L16" i="1"/>
  <c r="L17" i="1"/>
  <c r="L18" i="1"/>
  <c r="L19" i="1"/>
  <c r="L20" i="1"/>
  <c r="L21" i="1"/>
  <c r="C20" i="3" l="1"/>
  <c r="C21" i="3"/>
  <c r="B20" i="3"/>
  <c r="F20" i="3" s="1"/>
  <c r="B21" i="3"/>
  <c r="C23" i="3" s="1"/>
  <c r="C19" i="3"/>
  <c r="B18" i="3"/>
  <c r="B22" i="3"/>
  <c r="C18" i="3"/>
  <c r="C22" i="3"/>
  <c r="G9" i="3"/>
  <c r="G8" i="3"/>
  <c r="G7" i="3"/>
  <c r="C26" i="3" l="1"/>
  <c r="D26" i="3"/>
</calcChain>
</file>

<file path=xl/sharedStrings.xml><?xml version="1.0" encoding="utf-8"?>
<sst xmlns="http://schemas.openxmlformats.org/spreadsheetml/2006/main" count="350" uniqueCount="243">
  <si>
    <t>No. days</t>
  </si>
  <si>
    <t>Hazard</t>
  </si>
  <si>
    <t>tepp1, 3</t>
  </si>
  <si>
    <t>&gt;0</t>
  </si>
  <si>
    <t>0.5(H)</t>
  </si>
  <si>
    <t>ML</t>
  </si>
  <si>
    <t>bioethanomethrin</t>
  </si>
  <si>
    <t>L</t>
  </si>
  <si>
    <t xml:space="preserve">resmethrin </t>
  </si>
  <si>
    <t>-</t>
  </si>
  <si>
    <t>decamethrin, Decis®</t>
  </si>
  <si>
    <t>1.5(H)</t>
  </si>
  <si>
    <t>NIL</t>
  </si>
  <si>
    <t>Pay-Off®</t>
  </si>
  <si>
    <t>0.5(M)</t>
  </si>
  <si>
    <t>chlorpyrifos, Lorsban®, Dursban®</t>
  </si>
  <si>
    <t>2-3.5(H)</t>
  </si>
  <si>
    <t>M-MH</t>
  </si>
  <si>
    <t>(continued)</t>
  </si>
  <si>
    <t xml:space="preserve">methyl parathion1,‡ </t>
  </si>
  <si>
    <t>H-VHi:</t>
  </si>
  <si>
    <t>dieldrin1</t>
  </si>
  <si>
    <t>1.5-5(H)</t>
  </si>
  <si>
    <t>H</t>
  </si>
  <si>
    <t>carbofuran5, Furadan ®</t>
  </si>
  <si>
    <t>3&gt;5(H)</t>
  </si>
  <si>
    <t>M-H</t>
  </si>
  <si>
    <t>permethrin18, Ambush®, Pounce®</t>
  </si>
  <si>
    <t>&gt;5(VH)</t>
  </si>
  <si>
    <t>parathion1</t>
  </si>
  <si>
    <t>1(H)</t>
  </si>
  <si>
    <t>H-VH</t>
  </si>
  <si>
    <t>fenitrothion, Sumithion®</t>
  </si>
  <si>
    <t>dimethoate1, Cygon®, De-Fend'®</t>
  </si>
  <si>
    <t>1-3.5(H)</t>
  </si>
  <si>
    <t>M-VH</t>
  </si>
  <si>
    <t>methidathion1, Supracide®</t>
  </si>
  <si>
    <t>2.5(H)</t>
  </si>
  <si>
    <t>MH</t>
  </si>
  <si>
    <t>EPN1</t>
  </si>
  <si>
    <t>1.5-3(H)</t>
  </si>
  <si>
    <t>methyl parathion1,‡, encapsulated,</t>
  </si>
  <si>
    <t>etrimfos, Ekamet®</t>
  </si>
  <si>
    <t>&gt;5(H)</t>
  </si>
  <si>
    <t>aldicarb1, 5, 7, Temik®</t>
  </si>
  <si>
    <t>mexacarbate, Zectran®</t>
  </si>
  <si>
    <t>NIL§</t>
  </si>
  <si>
    <t>dicrotophos1, Bidrin®</t>
  </si>
  <si>
    <t>3(H)</t>
  </si>
  <si>
    <t>mevinphos1, 3, Phosdrin®</t>
  </si>
  <si>
    <t>2-4(H)</t>
  </si>
  <si>
    <t>fenthion, Baytex®</t>
  </si>
  <si>
    <t>&lt;1-1.5(H)</t>
  </si>
  <si>
    <t>Toxicity of residues to bees:  †</t>
  </si>
  <si>
    <t>(trade and/or</t>
  </si>
  <si>
    <t xml:space="preserve"> common name)</t>
  </si>
  <si>
    <t>Penncap-M®</t>
  </si>
  <si>
    <t>These can be used in the vicinity of bees if dosage, timing, and method of application are correct, but should not be applied directly on bees in the field or at colonies.</t>
  </si>
  <si>
    <t>Oz AI/acre</t>
  </si>
  <si>
    <t>calculated</t>
  </si>
  <si>
    <t>entered</t>
  </si>
  <si>
    <t>acres / Ha</t>
  </si>
  <si>
    <t>lbs / kg</t>
  </si>
  <si>
    <t>fensulfothion5, Dasanit®</t>
  </si>
  <si>
    <t>aldrin</t>
  </si>
  <si>
    <t>monocrotophos1, Azodrin®</t>
  </si>
  <si>
    <t>diazinon, Spectracide®</t>
  </si>
  <si>
    <t>MH-VH</t>
  </si>
  <si>
    <t>methiocarb, Mesurol®</t>
  </si>
  <si>
    <t>1-2(H)</t>
  </si>
  <si>
    <t>fenvalerate, Pydrin®</t>
  </si>
  <si>
    <t>1 (L)</t>
  </si>
  <si>
    <t>famphur, Famophos®</t>
  </si>
  <si>
    <t>azinphos-methyl1, Guthion®</t>
  </si>
  <si>
    <t>5(H)</t>
  </si>
  <si>
    <t>bendiocarb, Ficam®</t>
  </si>
  <si>
    <t>naled3, Dibrom®</t>
  </si>
  <si>
    <t xml:space="preserve">&lt;1-1.5(H) </t>
  </si>
  <si>
    <t>dichlorvos, DDVP, Vapona®</t>
  </si>
  <si>
    <t>heptachlor1, Drinox®</t>
  </si>
  <si>
    <t>isofenphos, Amaze®, Oftanol®</t>
  </si>
  <si>
    <t>carbosulfan, FMC-35001</t>
  </si>
  <si>
    <t>3.5(H)</t>
  </si>
  <si>
    <t>malathion4, Cythion®</t>
  </si>
  <si>
    <t>1-2(M)</t>
  </si>
  <si>
    <t>L-MH</t>
  </si>
  <si>
    <t>azinphos-ethyl, Ethyl Guthion®</t>
  </si>
  <si>
    <t>aminocarb, Matacil®</t>
  </si>
  <si>
    <t>phosmet, Imidan®</t>
  </si>
  <si>
    <t>acephate, Orthene®</t>
  </si>
  <si>
    <t>methomyl5, Lannate®, Nudrin®</t>
  </si>
  <si>
    <t>L-M</t>
  </si>
  <si>
    <t>propoxur, Baygon®</t>
  </si>
  <si>
    <t>methamidophos, Monitor®</t>
  </si>
  <si>
    <t>1 (M)</t>
  </si>
  <si>
    <t>LM</t>
  </si>
  <si>
    <t>stirofos, Gardona®</t>
  </si>
  <si>
    <t>3.5-5(L)</t>
  </si>
  <si>
    <t>LM-M</t>
  </si>
  <si>
    <t>fenamiphos5, Nemacur®</t>
  </si>
  <si>
    <t>phosphamidon, Dimecron®</t>
  </si>
  <si>
    <t>2-5(M)</t>
  </si>
  <si>
    <t>carbaryl, Sevin®</t>
  </si>
  <si>
    <t>3-7(H)</t>
  </si>
  <si>
    <t>bufencarb, Bux®</t>
  </si>
  <si>
    <t>pyrazophos, Afugan®</t>
  </si>
  <si>
    <t>arsenicals1</t>
  </si>
  <si>
    <t>GROUP II—moderately toxic pesticides (LD50 = 2.0 to 10.99 µg/bee)</t>
  </si>
  <si>
    <t>temephos, Abate®</t>
  </si>
  <si>
    <t>0-3(M)</t>
  </si>
  <si>
    <t>demeton1, 18, Systox®</t>
  </si>
  <si>
    <t>trichloronate, Agritox®</t>
  </si>
  <si>
    <t>endrin1, Endrex®</t>
  </si>
  <si>
    <t>1-3(M)</t>
  </si>
  <si>
    <t>crotoxyphos, Ciodrin®</t>
  </si>
  <si>
    <t>Pyramat®</t>
  </si>
  <si>
    <t>oxydemeton-methyl, Metasystox-R®</t>
  </si>
  <si>
    <t>0.5(L)</t>
  </si>
  <si>
    <t>profenofos, Curacon®</t>
  </si>
  <si>
    <t>terbufos, Counter®</t>
  </si>
  <si>
    <t>ethylan, Perthane®</t>
  </si>
  <si>
    <t>ethoprop, Mocap®</t>
  </si>
  <si>
    <t>ronnel, Korlan®</t>
  </si>
  <si>
    <t>This halflife model is not well tested.</t>
  </si>
  <si>
    <t>Label</t>
  </si>
  <si>
    <t>For LD50, change Label and format Applied_Dose as general</t>
  </si>
  <si>
    <t>For LC50, change Label and format Applied_Dose as %</t>
  </si>
  <si>
    <t>Graphs bleow are to illstrate effect of Probit analysis tranformations</t>
  </si>
  <si>
    <t>Halflife model</t>
  </si>
  <si>
    <t>The 1st row is linked to the to the mortality calculator</t>
  </si>
  <si>
    <t>Bee Mortality Calculator</t>
  </si>
  <si>
    <t>Conversion Calculator</t>
  </si>
  <si>
    <t>&lt;--</t>
  </si>
  <si>
    <t>disulfoton1, 6, 18, Di-Syston®</t>
  </si>
  <si>
    <t>DDT1, 10</t>
  </si>
  <si>
    <t>1(L)</t>
  </si>
  <si>
    <t>ethiofencarb, Croneton®</t>
  </si>
  <si>
    <t>N I L</t>
  </si>
  <si>
    <t>Larvin®, thiodicarb</t>
  </si>
  <si>
    <t>sulprofos, Bolstar®</t>
  </si>
  <si>
    <t xml:space="preserve">endosulfan, Thiodan® </t>
  </si>
  <si>
    <t>2(L)</t>
  </si>
  <si>
    <t>fonofos, Dyfonate®</t>
  </si>
  <si>
    <t>chlordane</t>
  </si>
  <si>
    <t>phosalone, Zolone®</t>
  </si>
  <si>
    <t>formetanate hydrochloride, Carzol®</t>
  </si>
  <si>
    <t>phorate1, 6, Thimet®</t>
  </si>
  <si>
    <t>&lt;1-1(L)</t>
  </si>
  <si>
    <t>L11</t>
  </si>
  <si>
    <t>oxamyl, Vydate®</t>
  </si>
  <si>
    <t>3-4(H)</t>
  </si>
  <si>
    <t xml:space="preserve">VH </t>
  </si>
  <si>
    <t>carbophenothion, Trithion®</t>
  </si>
  <si>
    <t>&lt;1 (M)</t>
  </si>
  <si>
    <t xml:space="preserve">Sevin® SL, carbaryl </t>
  </si>
  <si>
    <t>&gt;100</t>
  </si>
  <si>
    <t>6(MH)</t>
  </si>
  <si>
    <t xml:space="preserve">Pirimor®, pirimicarb </t>
  </si>
  <si>
    <t xml:space="preserve">Sevin® SLR, carbaryl </t>
  </si>
  <si>
    <t>&gt;6(H)</t>
  </si>
  <si>
    <t>M</t>
  </si>
  <si>
    <t>Mavrik®, fluvalinate</t>
  </si>
  <si>
    <t xml:space="preserve">L-ML </t>
  </si>
  <si>
    <t>Use: enter LD50, slope, field app. rate, others are calculated</t>
  </si>
  <si>
    <t>Use: calculate LD50 or LC50 from entered dose and %mortality</t>
  </si>
  <si>
    <t>Compound</t>
  </si>
  <si>
    <t>LD50, µg/bee</t>
  </si>
  <si>
    <t>slope probits/log u</t>
  </si>
  <si>
    <t>field rate lbs AI per acre</t>
  </si>
  <si>
    <t>rate factor</t>
  </si>
  <si>
    <t>probits from LD50</t>
  </si>
  <si>
    <t>predicted percent mortality</t>
  </si>
  <si>
    <t>note: kg/Ha about same as lb/acre</t>
  </si>
  <si>
    <t>enter dose. applied</t>
  </si>
  <si>
    <t>enter pctmort</t>
  </si>
  <si>
    <t>logdose</t>
  </si>
  <si>
    <t>nscores</t>
  </si>
  <si>
    <t>probits</t>
  </si>
  <si>
    <t>fit logdose</t>
  </si>
  <si>
    <t>Baythroid</t>
  </si>
  <si>
    <t>lbs AI/acre</t>
  </si>
  <si>
    <t>**</t>
  </si>
  <si>
    <t>Lannate</t>
  </si>
  <si>
    <t>kg AI/Ha</t>
  </si>
  <si>
    <t>Permetrin</t>
  </si>
  <si>
    <t>Phosdrin</t>
  </si>
  <si>
    <t>Clorpyriphos</t>
  </si>
  <si>
    <t>Malathion</t>
  </si>
  <si>
    <t>Note: These calculations assume the rule of thumb that field mortality</t>
  </si>
  <si>
    <t>Rules of thumb are equivalent to halflife of about 1 hour.</t>
  </si>
  <si>
    <t>probit/</t>
  </si>
  <si>
    <t>regression of probits on log(conc.)</t>
  </si>
  <si>
    <t>will be similar for lb/acre of AI to lab mortality for ug/bee AI</t>
  </si>
  <si>
    <t>logunit</t>
  </si>
  <si>
    <t>intercept</t>
  </si>
  <si>
    <t>This is equivalent to bees receiving only 1/11.2 of the rate of field</t>
  </si>
  <si>
    <t>se slope</t>
  </si>
  <si>
    <t>se intercept</t>
  </si>
  <si>
    <t>application of AI.  This rule of thumb assumes dilute water spray</t>
  </si>
  <si>
    <t>rsqr</t>
  </si>
  <si>
    <t>se y</t>
  </si>
  <si>
    <t>early in the morning, and average residual activity.</t>
  </si>
  <si>
    <t>F</t>
  </si>
  <si>
    <t>df 2 (df 1=1)</t>
  </si>
  <si>
    <t>Spraying after 7 AM will usually double the mortality;</t>
  </si>
  <si>
    <t>ss reg</t>
  </si>
  <si>
    <t>ss resid</t>
  </si>
  <si>
    <t>data can be modified in yellow cells only, the other values are calculated</t>
  </si>
  <si>
    <t>This spreadsheet is copyright 2000 by P. Kirk Visscher</t>
  </si>
  <si>
    <t>further information can be obtained from</t>
  </si>
  <si>
    <t>visscher@mail.ucr.edu</t>
  </si>
  <si>
    <t>If halflife of activity is known, mortality can be corrected.</t>
  </si>
  <si>
    <t>kg AI/Ha =</t>
  </si>
  <si>
    <t>lbs AI/acre =</t>
  </si>
  <si>
    <t>Oz AI/acre =</t>
  </si>
  <si>
    <t>known 1/2 life</t>
  </si>
  <si>
    <t>this row links</t>
  </si>
  <si>
    <t>Caution:</t>
  </si>
  <si>
    <t>if LD50 in lb/acre at 3 hours is same as LD50 in ug/bee,</t>
  </si>
  <si>
    <t>then T50 is 0.86 hrs.  Or, If risk doubles or halves for</t>
  </si>
  <si>
    <t>each 3 hrs, then T50 is 0.90</t>
  </si>
  <si>
    <t>Newfactor provides the effective amount of AI still present.</t>
  </si>
  <si>
    <t>This is used with a rate factor based on actual µg AI/cm2.</t>
  </si>
  <si>
    <t>Spraying before 4 AM will usually halve the mortality.</t>
  </si>
  <si>
    <t>P(F,df1,df2)=</t>
  </si>
  <si>
    <t>Long residual compounds will be more toxic than indicated.</t>
  </si>
  <si>
    <t>hrs</t>
  </si>
  <si>
    <t>halflife</t>
  </si>
  <si>
    <t>Newfactor</t>
  </si>
  <si>
    <t>calculate expected mortality from conc</t>
  </si>
  <si>
    <t>Short residual compounds will be less toxic than indicated.</t>
  </si>
  <si>
    <t>conc.</t>
  </si>
  <si>
    <t>%mort</t>
  </si>
  <si>
    <t>ULV applications will generally be more toxic than indicated.</t>
  </si>
  <si>
    <t xml:space="preserve">set </t>
  </si>
  <si>
    <t>GROUP I—highly toxic pesticides (LD50 = 0.001 to 1.99 µg/bee)</t>
  </si>
  <si>
    <t>Severe losses may be expected if these pesticides are applied when bees are present at treatment time or within a day thereafter, except as indicated by footnotes.  (Listed in order of toxicity; first named is most toxic.)</t>
  </si>
  <si>
    <t>Field test data</t>
  </si>
  <si>
    <t>Laboratory data</t>
  </si>
  <si>
    <t>Pesticide*</t>
  </si>
  <si>
    <t>Slope,</t>
  </si>
  <si>
    <t>LD10</t>
  </si>
  <si>
    <t>LD50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</si>
</sst>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8" formatCode="0.0000"/>
    <numFmt numFmtId="169" formatCode="0.000"/>
    <numFmt numFmtId="170" formatCode="0.0%"/>
    <numFmt numFmtId="172" formatCode="0.000%"/>
  </numFmts>
  <fonts count="3">
    <font>
      <sz val="10"/>
      <name val="Geneva"/>
    </font>
    <font>
      <b/>
      <sz val="10"/>
      <name val="Geneva"/>
    </font>
    <font>
      <sz val="10"/>
      <name val="Tms Rmn"/>
    </font>
  </fonts>
  <fills count="3">
    <fill>
      <patternFill patternType="none"/>
    </fill>
    <fill>
      <patternFill patternType="gray125"/>
    </fill>
    <fill>
      <patternFill patternType="solid">
        <fgColor indexed="13"/>
        <bgColor indexed="64"/>
      </patternFill>
    </fill>
  </fills>
  <borders count="31">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11">
    <xf numFmtId="0" fontId="0" fillId="0" borderId="0" xfId="0"/>
    <xf numFmtId="2" fontId="0" fillId="0" borderId="1" xfId="0" applyNumberFormat="1" applyBorder="1" applyAlignment="1" applyProtection="1">
      <alignment horizontal="center" vertical="center" wrapText="1"/>
    </xf>
    <xf numFmtId="0" fontId="0" fillId="0" borderId="1" xfId="0" applyBorder="1" applyAlignment="1" applyProtection="1">
      <alignment horizontal="center" vertical="center" wrapText="1"/>
    </xf>
    <xf numFmtId="2" fontId="0" fillId="0" borderId="0" xfId="0" applyNumberFormat="1" applyBorder="1" applyAlignment="1" applyProtection="1">
      <alignment horizontal="center" vertical="center" wrapText="1"/>
    </xf>
    <xf numFmtId="2" fontId="0" fillId="0" borderId="2" xfId="0" applyNumberFormat="1"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3" xfId="0" applyBorder="1" applyProtection="1"/>
    <xf numFmtId="0" fontId="0" fillId="0" borderId="4" xfId="0" applyBorder="1" applyProtection="1"/>
    <xf numFmtId="0" fontId="0" fillId="0" borderId="5" xfId="0" applyBorder="1" applyProtection="1"/>
    <xf numFmtId="2" fontId="0" fillId="0" borderId="6" xfId="0" applyNumberFormat="1" applyBorder="1" applyAlignment="1" applyProtection="1">
      <alignment horizontal="center" vertical="center" wrapText="1"/>
    </xf>
    <xf numFmtId="2" fontId="0" fillId="0" borderId="7" xfId="0" applyNumberFormat="1" applyBorder="1" applyAlignment="1" applyProtection="1">
      <alignment horizontal="center" vertical="center" wrapText="1"/>
    </xf>
    <xf numFmtId="2" fontId="0" fillId="0" borderId="8" xfId="0" applyNumberFormat="1" applyBorder="1" applyAlignment="1" applyProtection="1">
      <alignment horizontal="center" vertical="center" wrapText="1"/>
    </xf>
    <xf numFmtId="2" fontId="0" fillId="0" borderId="9" xfId="0" applyNumberFormat="1" applyBorder="1" applyAlignment="1" applyProtection="1">
      <alignment horizontal="center" vertical="center" wrapText="1"/>
    </xf>
    <xf numFmtId="172" fontId="0" fillId="0" borderId="10" xfId="0" applyNumberFormat="1" applyBorder="1" applyProtection="1"/>
    <xf numFmtId="0" fontId="0" fillId="0" borderId="0" xfId="0" applyProtection="1"/>
    <xf numFmtId="2" fontId="0" fillId="0" borderId="0" xfId="0" applyNumberFormat="1" applyProtection="1"/>
    <xf numFmtId="170" fontId="0" fillId="0" borderId="0" xfId="0" applyNumberFormat="1" applyProtection="1"/>
    <xf numFmtId="9" fontId="0" fillId="0" borderId="0" xfId="0" applyNumberFormat="1" applyProtection="1"/>
    <xf numFmtId="0" fontId="0" fillId="0" borderId="0" xfId="0" applyAlignment="1" applyProtection="1">
      <alignment horizontal="center" vertical="center" wrapText="1"/>
    </xf>
    <xf numFmtId="170" fontId="0" fillId="0" borderId="0" xfId="0" applyNumberFormat="1" applyAlignment="1" applyProtection="1">
      <alignment horizontal="center" vertical="center" wrapText="1"/>
    </xf>
    <xf numFmtId="9" fontId="0" fillId="0" borderId="0" xfId="0" applyNumberFormat="1" applyAlignment="1" applyProtection="1">
      <alignment horizontal="center" vertical="center" wrapText="1"/>
    </xf>
    <xf numFmtId="0" fontId="0" fillId="0" borderId="0" xfId="0" applyNumberFormat="1" applyProtection="1"/>
    <xf numFmtId="10" fontId="0" fillId="0" borderId="0" xfId="0" applyNumberFormat="1" applyProtection="1"/>
    <xf numFmtId="168" fontId="0" fillId="0" borderId="0" xfId="0" applyNumberFormat="1" applyProtection="1"/>
    <xf numFmtId="0" fontId="1" fillId="0" borderId="0" xfId="0" applyFont="1" applyProtection="1"/>
    <xf numFmtId="0" fontId="0" fillId="0" borderId="6" xfId="0" applyBorder="1" applyAlignment="1" applyProtection="1">
      <alignment horizontal="center" vertical="center" wrapText="1"/>
    </xf>
    <xf numFmtId="0" fontId="0" fillId="0" borderId="11" xfId="0" applyBorder="1" applyProtection="1"/>
    <xf numFmtId="9" fontId="0" fillId="0" borderId="12" xfId="0" applyNumberFormat="1" applyBorder="1" applyProtection="1">
      <protection locked="0"/>
    </xf>
    <xf numFmtId="0" fontId="0" fillId="0" borderId="12" xfId="0" applyBorder="1" applyAlignment="1" applyProtection="1">
      <alignment horizontal="center" vertical="center" wrapText="1"/>
    </xf>
    <xf numFmtId="2" fontId="0" fillId="0" borderId="12" xfId="0" applyNumberFormat="1" applyBorder="1" applyAlignment="1" applyProtection="1">
      <alignment horizontal="center" vertical="center" wrapText="1"/>
    </xf>
    <xf numFmtId="9" fontId="1" fillId="0" borderId="0" xfId="0" applyNumberFormat="1" applyFont="1" applyProtection="1"/>
    <xf numFmtId="0" fontId="0" fillId="0" borderId="13" xfId="0" applyBorder="1" applyProtection="1"/>
    <xf numFmtId="0" fontId="0" fillId="0" borderId="14" xfId="0" applyBorder="1"/>
    <xf numFmtId="0" fontId="0" fillId="0" borderId="0" xfId="0" applyNumberFormat="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0" xfId="0" applyBorder="1"/>
    <xf numFmtId="0" fontId="1" fillId="0" borderId="0" xfId="0" applyFont="1"/>
    <xf numFmtId="9" fontId="0" fillId="0" borderId="6" xfId="0" applyNumberFormat="1" applyBorder="1" applyProtection="1"/>
    <xf numFmtId="0" fontId="0" fillId="0" borderId="20" xfId="0" applyBorder="1"/>
    <xf numFmtId="0" fontId="0" fillId="0" borderId="21" xfId="0" applyBorder="1" applyProtection="1"/>
    <xf numFmtId="0" fontId="0" fillId="0" borderId="15" xfId="0" applyBorder="1" applyProtection="1"/>
    <xf numFmtId="0" fontId="0" fillId="2" borderId="13" xfId="0" applyFill="1" applyBorder="1" applyProtection="1">
      <protection locked="0"/>
    </xf>
    <xf numFmtId="0" fontId="0" fillId="2" borderId="22" xfId="0" applyFill="1" applyBorder="1" applyProtection="1">
      <protection locked="0"/>
    </xf>
    <xf numFmtId="169" fontId="0" fillId="2" borderId="22" xfId="0" applyNumberFormat="1" applyFill="1" applyBorder="1" applyProtection="1">
      <protection locked="0"/>
    </xf>
    <xf numFmtId="0" fontId="0" fillId="2" borderId="23" xfId="0" applyFill="1" applyBorder="1" applyProtection="1">
      <protection locked="0"/>
    </xf>
    <xf numFmtId="0" fontId="0" fillId="2" borderId="24" xfId="0" applyFill="1" applyBorder="1" applyProtection="1">
      <protection locked="0"/>
    </xf>
    <xf numFmtId="0" fontId="0" fillId="2" borderId="15" xfId="0" applyFill="1" applyBorder="1" applyProtection="1">
      <protection locked="0"/>
    </xf>
    <xf numFmtId="10" fontId="0" fillId="2" borderId="12" xfId="0" applyNumberFormat="1" applyFill="1" applyBorder="1" applyProtection="1">
      <protection locked="0"/>
    </xf>
    <xf numFmtId="172" fontId="0" fillId="2" borderId="13" xfId="0" applyNumberFormat="1" applyFill="1" applyBorder="1" applyProtection="1">
      <protection locked="0"/>
    </xf>
    <xf numFmtId="9" fontId="0" fillId="2" borderId="13" xfId="0" applyNumberFormat="1" applyFill="1" applyBorder="1" applyProtection="1">
      <protection locked="0"/>
    </xf>
    <xf numFmtId="172" fontId="0" fillId="2" borderId="22" xfId="0" applyNumberFormat="1" applyFill="1" applyBorder="1" applyProtection="1">
      <protection locked="0"/>
    </xf>
    <xf numFmtId="9" fontId="0" fillId="2" borderId="22" xfId="0" applyNumberFormat="1" applyFill="1" applyBorder="1" applyProtection="1">
      <protection locked="0"/>
    </xf>
    <xf numFmtId="170" fontId="0" fillId="2" borderId="22" xfId="0" applyNumberFormat="1" applyFill="1" applyBorder="1" applyAlignment="1" applyProtection="1">
      <alignment horizontal="center" vertical="center" wrapText="1"/>
      <protection locked="0"/>
    </xf>
    <xf numFmtId="172" fontId="0" fillId="2" borderId="23" xfId="0" applyNumberFormat="1" applyFill="1" applyBorder="1" applyProtection="1">
      <protection locked="0"/>
    </xf>
    <xf numFmtId="9" fontId="0" fillId="0" borderId="0" xfId="0" applyNumberFormat="1" applyBorder="1" applyProtection="1"/>
    <xf numFmtId="0" fontId="0" fillId="2" borderId="18" xfId="0" applyFill="1" applyBorder="1" applyProtection="1">
      <protection locked="0"/>
    </xf>
    <xf numFmtId="0" fontId="0" fillId="0" borderId="0" xfId="0" applyBorder="1" applyProtection="1"/>
    <xf numFmtId="0" fontId="0" fillId="2" borderId="0" xfId="0" applyFill="1" applyBorder="1" applyProtection="1">
      <protection locked="0"/>
    </xf>
    <xf numFmtId="0" fontId="0" fillId="0" borderId="21" xfId="0" applyBorder="1" applyAlignment="1">
      <alignment horizontal="right"/>
    </xf>
    <xf numFmtId="0" fontId="0" fillId="0" borderId="16" xfId="0" applyBorder="1" applyAlignment="1">
      <alignment horizontal="right"/>
    </xf>
    <xf numFmtId="0" fontId="0" fillId="0" borderId="21" xfId="0" applyBorder="1" applyAlignment="1" applyProtection="1">
      <alignment horizontal="right"/>
    </xf>
    <xf numFmtId="0" fontId="0" fillId="0" borderId="16" xfId="0" applyBorder="1" applyAlignment="1" applyProtection="1">
      <alignment horizontal="right"/>
    </xf>
    <xf numFmtId="169" fontId="0" fillId="0" borderId="21" xfId="0" applyNumberFormat="1" applyBorder="1" applyAlignment="1" applyProtection="1">
      <alignment horizontal="center"/>
    </xf>
    <xf numFmtId="169" fontId="0" fillId="0" borderId="16" xfId="0" applyNumberFormat="1" applyBorder="1" applyAlignment="1">
      <alignment horizontal="center"/>
    </xf>
    <xf numFmtId="0" fontId="0" fillId="0" borderId="21" xfId="0" applyBorder="1" applyAlignment="1" applyProtection="1">
      <alignment horizontal="center"/>
    </xf>
    <xf numFmtId="0" fontId="0" fillId="0" borderId="16" xfId="0" applyBorder="1" applyAlignment="1">
      <alignment horizontal="center"/>
    </xf>
    <xf numFmtId="0" fontId="0" fillId="0" borderId="11" xfId="0" applyBorder="1" applyAlignment="1" applyProtection="1">
      <alignment horizontal="center" vertical="center" wrapText="1"/>
    </xf>
    <xf numFmtId="0" fontId="0" fillId="0" borderId="25" xfId="0" applyBorder="1" applyAlignment="1" applyProtection="1">
      <alignment horizontal="center" vertical="center" wrapText="1"/>
    </xf>
    <xf numFmtId="0" fontId="0" fillId="2" borderId="12" xfId="0" applyFill="1" applyBorder="1" applyProtection="1">
      <protection locked="0"/>
    </xf>
    <xf numFmtId="2" fontId="0" fillId="0" borderId="6" xfId="0" applyNumberFormat="1" applyBorder="1" applyProtection="1"/>
    <xf numFmtId="2" fontId="0" fillId="0" borderId="0" xfId="0" applyNumberFormat="1" applyBorder="1" applyProtection="1"/>
    <xf numFmtId="0" fontId="0" fillId="2" borderId="6" xfId="0" applyFill="1" applyBorder="1" applyProtection="1">
      <protection locked="0"/>
    </xf>
    <xf numFmtId="0" fontId="0" fillId="2" borderId="1" xfId="0" applyFill="1" applyBorder="1" applyProtection="1">
      <protection locked="0"/>
    </xf>
    <xf numFmtId="10" fontId="0" fillId="2" borderId="0" xfId="0" applyNumberFormat="1" applyFill="1" applyBorder="1" applyProtection="1">
      <protection locked="0"/>
    </xf>
    <xf numFmtId="0" fontId="0" fillId="0" borderId="1" xfId="0" applyBorder="1"/>
    <xf numFmtId="0" fontId="1" fillId="0" borderId="24" xfId="0" applyFont="1" applyBorder="1" applyProtection="1"/>
    <xf numFmtId="0" fontId="0" fillId="0" borderId="20" xfId="0" applyBorder="1" applyProtection="1"/>
    <xf numFmtId="9" fontId="0" fillId="0" borderId="26" xfId="0" applyNumberFormat="1" applyBorder="1" applyProtection="1"/>
    <xf numFmtId="0" fontId="0" fillId="0" borderId="27" xfId="0" applyBorder="1"/>
    <xf numFmtId="0" fontId="0" fillId="0" borderId="28" xfId="0" applyBorder="1"/>
    <xf numFmtId="0" fontId="0" fillId="0" borderId="18" xfId="0" applyBorder="1" applyProtection="1"/>
    <xf numFmtId="0" fontId="1" fillId="0" borderId="29" xfId="0" applyFont="1" applyBorder="1" applyProtection="1"/>
    <xf numFmtId="0" fontId="0" fillId="0" borderId="26" xfId="0" applyBorder="1"/>
    <xf numFmtId="0" fontId="0" fillId="0" borderId="19" xfId="0" applyBorder="1" applyProtection="1"/>
    <xf numFmtId="0" fontId="0" fillId="0" borderId="16" xfId="0" applyBorder="1" applyProtection="1"/>
    <xf numFmtId="0" fontId="0" fillId="0" borderId="17" xfId="0" applyBorder="1" applyProtection="1"/>
    <xf numFmtId="2" fontId="0" fillId="0" borderId="21" xfId="0" applyNumberFormat="1" applyBorder="1" applyProtection="1"/>
    <xf numFmtId="0" fontId="1" fillId="0" borderId="30" xfId="0" applyFont="1" applyBorder="1" applyAlignment="1" applyProtection="1">
      <alignment horizontal="center" vertical="center" wrapText="1"/>
    </xf>
    <xf numFmtId="9" fontId="1" fillId="0" borderId="19" xfId="0" applyNumberFormat="1" applyFont="1" applyBorder="1" applyProtection="1"/>
    <xf numFmtId="0" fontId="0" fillId="0" borderId="27" xfId="0" applyFill="1" applyBorder="1" applyProtection="1"/>
    <xf numFmtId="9" fontId="1" fillId="0" borderId="28" xfId="0" applyNumberFormat="1" applyFont="1" applyBorder="1" applyProtection="1"/>
    <xf numFmtId="0" fontId="2" fillId="0" borderId="18" xfId="0" applyFont="1" applyBorder="1" applyAlignment="1" applyProtection="1">
      <alignment horizontal="right"/>
    </xf>
    <xf numFmtId="0" fontId="0" fillId="0" borderId="29" xfId="0" applyBorder="1" applyProtection="1"/>
    <xf numFmtId="0" fontId="1" fillId="0" borderId="0" xfId="0" applyFont="1"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8" xfId="0" applyBorder="1" applyAlignment="1" applyProtection="1">
      <alignment horizontal="center"/>
    </xf>
    <xf numFmtId="0" fontId="0" fillId="0" borderId="0" xfId="0" applyBorder="1" applyAlignment="1" applyProtection="1">
      <alignment horizontal="center"/>
    </xf>
    <xf numFmtId="0" fontId="0" fillId="0" borderId="24" xfId="0" applyBorder="1" applyAlignment="1">
      <alignment horizontal="center"/>
    </xf>
    <xf numFmtId="0" fontId="0" fillId="0" borderId="21" xfId="0" applyBorder="1" applyAlignment="1">
      <alignment horizontal="center"/>
    </xf>
    <xf numFmtId="0" fontId="0" fillId="0" borderId="20" xfId="0" applyBorder="1" applyAlignment="1">
      <alignment horizontal="center"/>
    </xf>
    <xf numFmtId="0" fontId="0" fillId="0" borderId="18" xfId="0" applyBorder="1" applyAlignment="1" applyProtection="1">
      <alignment horizontal="center"/>
      <protection locked="0"/>
    </xf>
    <xf numFmtId="0" fontId="0" fillId="0" borderId="0"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Geneva"/>
                <a:ea typeface="Geneva"/>
                <a:cs typeface="Geneva"/>
              </a:defRPr>
            </a:pPr>
            <a:r>
              <a:rPr lang="en-US"/>
              <a:t>% mort vs dose</a:t>
            </a:r>
          </a:p>
        </c:rich>
      </c:tx>
      <c:layout>
        <c:manualLayout>
          <c:xMode val="edge"/>
          <c:yMode val="edge"/>
          <c:x val="0.33614598366240556"/>
          <c:y val="4.0463733979738847E-2"/>
        </c:manualLayout>
      </c:layout>
      <c:overlay val="0"/>
      <c:spPr>
        <a:noFill/>
        <a:ln w="25400">
          <a:noFill/>
        </a:ln>
      </c:spPr>
    </c:title>
    <c:autoTitleDeleted val="0"/>
    <c:plotArea>
      <c:layout>
        <c:manualLayout>
          <c:layoutTarget val="inner"/>
          <c:xMode val="edge"/>
          <c:yMode val="edge"/>
          <c:x val="0.21849488938056361"/>
          <c:y val="0.28324613785817193"/>
          <c:w val="0.64287919375435054"/>
          <c:h val="0.50290640803389708"/>
        </c:manualLayout>
      </c:layout>
      <c:scatterChart>
        <c:scatterStyle val="lineMarker"/>
        <c:varyColors val="0"/>
        <c:ser>
          <c:idx val="0"/>
          <c:order val="0"/>
          <c:tx>
            <c:v>% mort</c:v>
          </c:tx>
          <c:spPr>
            <a:ln w="12700">
              <a:solidFill>
                <a:srgbClr val="000000"/>
              </a:solidFill>
              <a:prstDash val="solid"/>
            </a:ln>
          </c:spPr>
          <c:marker>
            <c:symbol val="square"/>
            <c:size val="5"/>
            <c:spPr>
              <a:solidFill>
                <a:srgbClr val="FF0000"/>
              </a:solidFill>
              <a:ln>
                <a:solidFill>
                  <a:srgbClr val="000000"/>
                </a:solidFill>
                <a:prstDash val="solid"/>
              </a:ln>
            </c:spPr>
          </c:marker>
          <c:xVal>
            <c:numRef>
              <c:f>[0]!dose</c:f>
              <c:numCache>
                <c:formatCode>0.000%</c:formatCode>
                <c:ptCount val="11"/>
                <c:pt idx="0">
                  <c:v>3.333E-3</c:v>
                </c:pt>
                <c:pt idx="1">
                  <c:v>4.1660000000000004E-3</c:v>
                </c:pt>
                <c:pt idx="2">
                  <c:v>4.5830000000000003E-3</c:v>
                </c:pt>
                <c:pt idx="3">
                  <c:v>5.0000000000000001E-3</c:v>
                </c:pt>
              </c:numCache>
            </c:numRef>
          </c:xVal>
          <c:yVal>
            <c:numRef>
              <c:f>[0]!pctmort</c:f>
              <c:numCache>
                <c:formatCode>0%</c:formatCode>
                <c:ptCount val="11"/>
                <c:pt idx="0">
                  <c:v>0.13750000000000001</c:v>
                </c:pt>
                <c:pt idx="1">
                  <c:v>0.43119999999999997</c:v>
                </c:pt>
                <c:pt idx="2">
                  <c:v>0.77010000000000001</c:v>
                </c:pt>
                <c:pt idx="3">
                  <c:v>0.97530000000000006</c:v>
                </c:pt>
              </c:numCache>
            </c:numRef>
          </c:yVal>
          <c:smooth val="0"/>
          <c:extLst>
            <c:ext xmlns:c16="http://schemas.microsoft.com/office/drawing/2014/chart" uri="{C3380CC4-5D6E-409C-BE32-E72D297353CC}">
              <c16:uniqueId val="{00000000-4F00-2A41-8926-4B888969A8D1}"/>
            </c:ext>
          </c:extLst>
        </c:ser>
        <c:dLbls>
          <c:showLegendKey val="0"/>
          <c:showVal val="0"/>
          <c:showCatName val="0"/>
          <c:showSerName val="0"/>
          <c:showPercent val="0"/>
          <c:showBubbleSize val="0"/>
        </c:dLbls>
        <c:axId val="1609772640"/>
        <c:axId val="1"/>
      </c:scatterChart>
      <c:valAx>
        <c:axId val="1609772640"/>
        <c:scaling>
          <c:orientation val="minMax"/>
        </c:scaling>
        <c:delete val="0"/>
        <c:axPos val="b"/>
        <c:numFmt formatCode="0.0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Geneva"/>
                <a:ea typeface="Geneva"/>
                <a:cs typeface="Geneva"/>
              </a:defRPr>
            </a:pPr>
            <a:endParaRPr lang="en-US"/>
          </a:p>
        </c:txPr>
        <c:crossAx val="1"/>
        <c:crosses val="autoZero"/>
        <c:crossBetween val="midCat"/>
      </c:valAx>
      <c:valAx>
        <c:axId val="1"/>
        <c:scaling>
          <c:orientation val="minMax"/>
        </c:scaling>
        <c:delete val="0"/>
        <c:axPos val="l"/>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Geneva"/>
                <a:ea typeface="Geneva"/>
                <a:cs typeface="Geneva"/>
              </a:defRPr>
            </a:pPr>
            <a:endParaRPr lang="en-US"/>
          </a:p>
        </c:txPr>
        <c:crossAx val="1609772640"/>
        <c:crosses val="autoZero"/>
        <c:crossBetween val="midCat"/>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Geneva"/>
          <a:ea typeface="Geneva"/>
          <a:cs typeface="Geneva"/>
        </a:defRPr>
      </a:pPr>
      <a:endParaRPr lang="en-US"/>
    </a:p>
  </c:txPr>
  <c:printSettings>
    <c:headerFooter alignWithMargins="0">
      <c:oddHeader>&amp;F</c:oddHeader>
      <c:oddFooter>Page &amp;P</c:oddFooter>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Geneva"/>
                <a:ea typeface="Geneva"/>
                <a:cs typeface="Geneva"/>
              </a:defRPr>
            </a:pPr>
            <a:r>
              <a:rPr lang="en-US"/>
              <a:t>%mort vs log dose</a:t>
            </a:r>
          </a:p>
        </c:rich>
      </c:tx>
      <c:layout>
        <c:manualLayout>
          <c:xMode val="edge"/>
          <c:yMode val="edge"/>
          <c:x val="0.33089365758545086"/>
          <c:y val="4.0463733979738847E-2"/>
        </c:manualLayout>
      </c:layout>
      <c:overlay val="0"/>
      <c:spPr>
        <a:noFill/>
        <a:ln w="25400">
          <a:noFill/>
        </a:ln>
      </c:spPr>
    </c:title>
    <c:autoTitleDeleted val="0"/>
    <c:plotArea>
      <c:layout>
        <c:manualLayout>
          <c:layoutTarget val="inner"/>
          <c:xMode val="edge"/>
          <c:yMode val="edge"/>
          <c:x val="0.10294469347102916"/>
          <c:y val="0.28324613785817193"/>
          <c:w val="0.79782137440047596"/>
          <c:h val="0.50290640803389708"/>
        </c:manualLayout>
      </c:layout>
      <c:scatterChart>
        <c:scatterStyle val="lineMarker"/>
        <c:varyColors val="0"/>
        <c:ser>
          <c:idx val="0"/>
          <c:order val="0"/>
          <c:tx>
            <c:v>"% mort"</c:v>
          </c:tx>
          <c:spPr>
            <a:ln w="12700">
              <a:solidFill>
                <a:srgbClr val="000000"/>
              </a:solidFill>
              <a:prstDash val="solid"/>
            </a:ln>
          </c:spPr>
          <c:marker>
            <c:symbol val="square"/>
            <c:size val="5"/>
            <c:spPr>
              <a:solidFill>
                <a:srgbClr val="FF0000"/>
              </a:solidFill>
              <a:ln>
                <a:solidFill>
                  <a:srgbClr val="000000"/>
                </a:solidFill>
                <a:prstDash val="solid"/>
              </a:ln>
            </c:spPr>
          </c:marker>
          <c:xVal>
            <c:numRef>
              <c:f>[0]!logdose</c:f>
              <c:numCache>
                <c:formatCode>0.00</c:formatCode>
                <c:ptCount val="11"/>
                <c:pt idx="0">
                  <c:v>-2.4771646863394698</c:v>
                </c:pt>
                <c:pt idx="1">
                  <c:v>-2.3802807343882728</c:v>
                </c:pt>
                <c:pt idx="2">
                  <c:v>-2.3388501427552133</c:v>
                </c:pt>
                <c:pt idx="3">
                  <c:v>-2.3010299956639813</c:v>
                </c:pt>
                <c:pt idx="4">
                  <c:v>#N/A</c:v>
                </c:pt>
                <c:pt idx="5">
                  <c:v>#N/A</c:v>
                </c:pt>
                <c:pt idx="6">
                  <c:v>#N/A</c:v>
                </c:pt>
                <c:pt idx="7">
                  <c:v>#N/A</c:v>
                </c:pt>
                <c:pt idx="8">
                  <c:v>#N/A</c:v>
                </c:pt>
                <c:pt idx="9">
                  <c:v>#N/A</c:v>
                </c:pt>
                <c:pt idx="10">
                  <c:v>#N/A</c:v>
                </c:pt>
              </c:numCache>
            </c:numRef>
          </c:xVal>
          <c:yVal>
            <c:numRef>
              <c:f>[0]!pctmort</c:f>
              <c:numCache>
                <c:formatCode>0%</c:formatCode>
                <c:ptCount val="11"/>
                <c:pt idx="0">
                  <c:v>0.13750000000000001</c:v>
                </c:pt>
                <c:pt idx="1">
                  <c:v>0.43119999999999997</c:v>
                </c:pt>
                <c:pt idx="2">
                  <c:v>0.77010000000000001</c:v>
                </c:pt>
                <c:pt idx="3">
                  <c:v>0.97530000000000006</c:v>
                </c:pt>
              </c:numCache>
            </c:numRef>
          </c:yVal>
          <c:smooth val="0"/>
          <c:extLst>
            <c:ext xmlns:c16="http://schemas.microsoft.com/office/drawing/2014/chart" uri="{C3380CC4-5D6E-409C-BE32-E72D297353CC}">
              <c16:uniqueId val="{00000000-501B-4149-9E32-8F63CD6402FC}"/>
            </c:ext>
          </c:extLst>
        </c:ser>
        <c:dLbls>
          <c:showLegendKey val="0"/>
          <c:showVal val="0"/>
          <c:showCatName val="0"/>
          <c:showSerName val="0"/>
          <c:showPercent val="0"/>
          <c:showBubbleSize val="0"/>
        </c:dLbls>
        <c:axId val="1609797696"/>
        <c:axId val="1"/>
      </c:scatterChart>
      <c:valAx>
        <c:axId val="1609797696"/>
        <c:scaling>
          <c:orientation val="minMax"/>
        </c:scaling>
        <c:delete val="0"/>
        <c:axPos val="b"/>
        <c:numFmt formatCode="0.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Geneva"/>
                <a:ea typeface="Geneva"/>
                <a:cs typeface="Geneva"/>
              </a:defRPr>
            </a:pPr>
            <a:endParaRPr lang="en-US"/>
          </a:p>
        </c:txPr>
        <c:crossAx val="1"/>
        <c:crosses val="autoZero"/>
        <c:crossBetween val="midCat"/>
      </c:valAx>
      <c:valAx>
        <c:axId val="1"/>
        <c:scaling>
          <c:orientation val="minMax"/>
        </c:scaling>
        <c:delete val="0"/>
        <c:axPos val="l"/>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Geneva"/>
                <a:ea typeface="Geneva"/>
                <a:cs typeface="Geneva"/>
              </a:defRPr>
            </a:pPr>
            <a:endParaRPr lang="en-US"/>
          </a:p>
        </c:txPr>
        <c:crossAx val="1609797696"/>
        <c:crosses val="autoZero"/>
        <c:crossBetween val="midCat"/>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Geneva"/>
          <a:ea typeface="Geneva"/>
          <a:cs typeface="Geneva"/>
        </a:defRPr>
      </a:pPr>
      <a:endParaRPr lang="en-US"/>
    </a:p>
  </c:txPr>
  <c:printSettings>
    <c:headerFooter alignWithMargins="0">
      <c:oddHeader>&amp;F</c:oddHeader>
      <c:oddFooter>Page &amp;P</c:oddFooter>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[0]!chartlabel</c:f>
          <c:strCache>
            <c:ptCount val="1"/>
            <c:pt idx="0">
              <c:v>Probits vs logdose LC50 at X</c:v>
            </c:pt>
          </c:strCache>
        </c:strRef>
      </c:tx>
      <c:layout>
        <c:manualLayout>
          <c:xMode val="edge"/>
          <c:yMode val="edge"/>
          <c:x val="0.36189586182874717"/>
          <c:y val="2.8709034205546494E-2"/>
        </c:manualLayout>
      </c:layout>
      <c:overlay val="0"/>
      <c:spPr>
        <a:noFill/>
        <a:ln w="25400">
          <a:noFill/>
        </a:ln>
      </c:spPr>
      <c:txPr>
        <a:bodyPr/>
        <a:lstStyle/>
        <a:p>
          <a:pPr>
            <a:defRPr sz="1000" b="1" i="0" u="none" strike="noStrike" baseline="0">
              <a:solidFill>
                <a:srgbClr val="000000"/>
              </a:solidFill>
              <a:latin typeface="Tms Rmn"/>
              <a:ea typeface="Tms Rmn"/>
              <a:cs typeface="Tms Rmn"/>
            </a:defRPr>
          </a:pPr>
          <a:endParaRPr lang="en-US"/>
        </a:p>
      </c:txPr>
    </c:title>
    <c:autoTitleDeleted val="0"/>
    <c:plotArea>
      <c:layout>
        <c:manualLayout>
          <c:layoutTarget val="inner"/>
          <c:xMode val="edge"/>
          <c:yMode val="edge"/>
          <c:x val="5.9959077699437403E-2"/>
          <c:y val="0.13158307344208811"/>
          <c:w val="0.88225500043457894"/>
          <c:h val="0.77992876258401311"/>
        </c:manualLayout>
      </c:layout>
      <c:scatterChart>
        <c:scatterStyle val="lineMarker"/>
        <c:varyColors val="0"/>
        <c:ser>
          <c:idx val="0"/>
          <c:order val="0"/>
          <c:tx>
            <c:strRef>
              <c:f>'Probit Analysis'!$F$4</c:f>
              <c:strCache>
                <c:ptCount val="1"/>
                <c:pt idx="0">
                  <c:v>probits</c:v>
                </c:pt>
              </c:strCache>
            </c:strRef>
          </c:tx>
          <c:spPr>
            <a:ln w="19050">
              <a:noFill/>
            </a:ln>
          </c:spPr>
          <c:marker>
            <c:symbol val="circle"/>
            <c:size val="6"/>
            <c:spPr>
              <a:solidFill>
                <a:srgbClr val="FF0000"/>
              </a:solidFill>
              <a:ln>
                <a:solidFill>
                  <a:srgbClr val="000000"/>
                </a:solidFill>
                <a:prstDash val="solid"/>
              </a:ln>
            </c:spPr>
          </c:marker>
          <c:xVal>
            <c:numRef>
              <c:f>[0]!logdose</c:f>
              <c:numCache>
                <c:formatCode>0.00</c:formatCode>
                <c:ptCount val="11"/>
                <c:pt idx="0">
                  <c:v>-2.4771646863394698</c:v>
                </c:pt>
                <c:pt idx="1">
                  <c:v>-2.3802807343882728</c:v>
                </c:pt>
                <c:pt idx="2">
                  <c:v>-2.3388501427552133</c:v>
                </c:pt>
                <c:pt idx="3">
                  <c:v>-2.3010299956639813</c:v>
                </c:pt>
                <c:pt idx="4">
                  <c:v>#N/A</c:v>
                </c:pt>
                <c:pt idx="5">
                  <c:v>#N/A</c:v>
                </c:pt>
                <c:pt idx="6">
                  <c:v>#N/A</c:v>
                </c:pt>
                <c:pt idx="7">
                  <c:v>#N/A</c:v>
                </c:pt>
                <c:pt idx="8">
                  <c:v>#N/A</c:v>
                </c:pt>
                <c:pt idx="9">
                  <c:v>#N/A</c:v>
                </c:pt>
                <c:pt idx="10">
                  <c:v>#N/A</c:v>
                </c:pt>
              </c:numCache>
            </c:numRef>
          </c:xVal>
          <c:yVal>
            <c:numRef>
              <c:f>[0]!probits</c:f>
              <c:numCache>
                <c:formatCode>General</c:formatCode>
                <c:ptCount val="11"/>
                <c:pt idx="0">
                  <c:v>3.9083796325658318</c:v>
                </c:pt>
                <c:pt idx="1">
                  <c:v>4.8266801223099485</c:v>
                </c:pt>
                <c:pt idx="2">
                  <c:v>5.7391762178696046</c:v>
                </c:pt>
                <c:pt idx="3">
                  <c:v>6.9651230274150544</c:v>
                </c:pt>
                <c:pt idx="4">
                  <c:v>#N/A</c:v>
                </c:pt>
                <c:pt idx="5">
                  <c:v>#N/A</c:v>
                </c:pt>
                <c:pt idx="6">
                  <c:v>#N/A</c:v>
                </c:pt>
                <c:pt idx="7">
                  <c:v>#N/A</c:v>
                </c:pt>
                <c:pt idx="8">
                  <c:v>#N/A</c:v>
                </c:pt>
                <c:pt idx="9">
                  <c:v>#N/A</c:v>
                </c:pt>
                <c:pt idx="10">
                  <c:v>#N/A</c:v>
                </c:pt>
              </c:numCache>
            </c:numRef>
          </c:yVal>
          <c:smooth val="0"/>
          <c:extLst>
            <c:ext xmlns:c16="http://schemas.microsoft.com/office/drawing/2014/chart" uri="{C3380CC4-5D6E-409C-BE32-E72D297353CC}">
              <c16:uniqueId val="{00000000-3FC5-C04C-A7B2-D4F907821E2A}"/>
            </c:ext>
          </c:extLst>
        </c:ser>
        <c:ser>
          <c:idx val="1"/>
          <c:order val="1"/>
          <c:tx>
            <c:strRef>
              <c:f>'Probit Analysis'!$G$4</c:f>
              <c:strCache>
                <c:ptCount val="1"/>
                <c:pt idx="0">
                  <c:v>fit logdose</c:v>
                </c:pt>
              </c:strCache>
            </c:strRef>
          </c:tx>
          <c:spPr>
            <a:ln w="25400">
              <a:solidFill>
                <a:srgbClr val="000000"/>
              </a:solidFill>
              <a:prstDash val="solid"/>
            </a:ln>
          </c:spPr>
          <c:marker>
            <c:symbol val="none"/>
          </c:marker>
          <c:xVal>
            <c:numRef>
              <c:f>[0]!fit</c:f>
              <c:numCache>
                <c:formatCode>General</c:formatCode>
                <c:ptCount val="12"/>
                <c:pt idx="0">
                  <c:v>-2.3942921379971067</c:v>
                </c:pt>
                <c:pt idx="1">
                  <c:v>-2.4548456463108472</c:v>
                </c:pt>
                <c:pt idx="2">
                  <c:v>-2.4039064022301107</c:v>
                </c:pt>
                <c:pt idx="3">
                  <c:v>-2.3532891349482603</c:v>
                </c:pt>
                <c:pt idx="4">
                  <c:v>-2.2852843756577181</c:v>
                </c:pt>
                <c:pt idx="5">
                  <c:v>#N/A</c:v>
                </c:pt>
                <c:pt idx="6">
                  <c:v>#N/A</c:v>
                </c:pt>
                <c:pt idx="7">
                  <c:v>#N/A</c:v>
                </c:pt>
                <c:pt idx="8">
                  <c:v>#N/A</c:v>
                </c:pt>
                <c:pt idx="9">
                  <c:v>#N/A</c:v>
                </c:pt>
                <c:pt idx="10">
                  <c:v>#N/A</c:v>
                </c:pt>
                <c:pt idx="11">
                  <c:v>#N/A</c:v>
                </c:pt>
              </c:numCache>
            </c:numRef>
          </c:xVal>
          <c:yVal>
            <c:numRef>
              <c:f>[0]!fitprobits</c:f>
              <c:numCache>
                <c:formatCode>General</c:formatCode>
                <c:ptCount val="12"/>
                <c:pt idx="0">
                  <c:v>5</c:v>
                </c:pt>
                <c:pt idx="1">
                  <c:v>3.9083796325658318</c:v>
                </c:pt>
                <c:pt idx="2">
                  <c:v>4.8266801223099485</c:v>
                </c:pt>
                <c:pt idx="3">
                  <c:v>5.7391762178696046</c:v>
                </c:pt>
                <c:pt idx="4">
                  <c:v>6.9651230274150544</c:v>
                </c:pt>
                <c:pt idx="5">
                  <c:v>#N/A</c:v>
                </c:pt>
                <c:pt idx="6">
                  <c:v>#N/A</c:v>
                </c:pt>
                <c:pt idx="7">
                  <c:v>#N/A</c:v>
                </c:pt>
                <c:pt idx="8">
                  <c:v>#N/A</c:v>
                </c:pt>
                <c:pt idx="9">
                  <c:v>#N/A</c:v>
                </c:pt>
                <c:pt idx="10">
                  <c:v>#N/A</c:v>
                </c:pt>
                <c:pt idx="11">
                  <c:v>#N/A</c:v>
                </c:pt>
              </c:numCache>
            </c:numRef>
          </c:yVal>
          <c:smooth val="0"/>
          <c:extLst>
            <c:ext xmlns:c16="http://schemas.microsoft.com/office/drawing/2014/chart" uri="{C3380CC4-5D6E-409C-BE32-E72D297353CC}">
              <c16:uniqueId val="{00000001-3FC5-C04C-A7B2-D4F907821E2A}"/>
            </c:ext>
          </c:extLst>
        </c:ser>
        <c:ser>
          <c:idx val="2"/>
          <c:order val="2"/>
          <c:spPr>
            <a:ln w="12700">
              <a:solidFill>
                <a:srgbClr val="000000"/>
              </a:solidFill>
              <a:prstDash val="solid"/>
            </a:ln>
          </c:spPr>
          <c:marker>
            <c:symbol val="x"/>
            <c:size val="6"/>
            <c:spPr>
              <a:solidFill>
                <a:srgbClr val="FFFFFF"/>
              </a:solidFill>
              <a:ln>
                <a:solidFill>
                  <a:srgbClr val="000000"/>
                </a:solidFill>
                <a:prstDash val="solid"/>
              </a:ln>
            </c:spPr>
          </c:marker>
          <c:xVal>
            <c:numRef>
              <c:f>'Probit Analysis'!$G$5</c:f>
              <c:numCache>
                <c:formatCode>General</c:formatCode>
                <c:ptCount val="1"/>
                <c:pt idx="0">
                  <c:v>-2.3942921379971067</c:v>
                </c:pt>
              </c:numCache>
            </c:numRef>
          </c:xVal>
          <c:yVal>
            <c:numRef>
              <c:f>'Probit Analysis'!$F$5</c:f>
              <c:numCache>
                <c:formatCode>General</c:formatCode>
                <c:ptCount val="1"/>
                <c:pt idx="0">
                  <c:v>5</c:v>
                </c:pt>
              </c:numCache>
            </c:numRef>
          </c:yVal>
          <c:smooth val="0"/>
          <c:extLst>
            <c:ext xmlns:c16="http://schemas.microsoft.com/office/drawing/2014/chart" uri="{C3380CC4-5D6E-409C-BE32-E72D297353CC}">
              <c16:uniqueId val="{00000002-3FC5-C04C-A7B2-D4F907821E2A}"/>
            </c:ext>
          </c:extLst>
        </c:ser>
        <c:dLbls>
          <c:showLegendKey val="0"/>
          <c:showVal val="0"/>
          <c:showCatName val="0"/>
          <c:showSerName val="0"/>
          <c:showPercent val="0"/>
          <c:showBubbleSize val="0"/>
        </c:dLbls>
        <c:axId val="1509415056"/>
        <c:axId val="1"/>
      </c:scatterChart>
      <c:valAx>
        <c:axId val="1509415056"/>
        <c:scaling>
          <c:orientation val="minMax"/>
        </c:scaling>
        <c:delete val="0"/>
        <c:axPos val="b"/>
        <c:majorGridlines>
          <c:spPr>
            <a:ln w="3175">
              <a:solidFill>
                <a:srgbClr val="000000"/>
              </a:solidFill>
              <a:prstDash val="solid"/>
            </a:ln>
          </c:spPr>
        </c:majorGridlines>
        <c:numFmt formatCode="0.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Geneva"/>
                <a:ea typeface="Geneva"/>
                <a:cs typeface="Geneva"/>
              </a:defRPr>
            </a:pPr>
            <a:endParaRPr lang="en-US"/>
          </a:p>
        </c:txPr>
        <c:crossAx val="1"/>
        <c:crosses val="autoZero"/>
        <c:crossBetween val="midCat"/>
      </c:valAx>
      <c:valAx>
        <c:axId val="1"/>
        <c:scaling>
          <c:orientation val="minMax"/>
          <c:max val="7"/>
          <c:min val="3"/>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Geneva"/>
                <a:ea typeface="Geneva"/>
                <a:cs typeface="Geneva"/>
              </a:defRPr>
            </a:pPr>
            <a:endParaRPr lang="en-US"/>
          </a:p>
        </c:txPr>
        <c:crossAx val="1509415056"/>
        <c:crosses val="autoZero"/>
        <c:crossBetween val="midCat"/>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Geneva"/>
          <a:ea typeface="Geneva"/>
          <a:cs typeface="Geneva"/>
        </a:defRPr>
      </a:pPr>
      <a:endParaRPr lang="en-US"/>
    </a:p>
  </c:txPr>
  <c:printSettings>
    <c:headerFooter alignWithMargins="0">
      <c:oddHeader>&amp;F</c:oddHeader>
      <c:oddFooter>Page &amp;P</c:oddFooter>
    </c:headerFooter>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Geneva"/>
                <a:ea typeface="Geneva"/>
                <a:cs typeface="Geneva"/>
              </a:defRPr>
            </a:pPr>
            <a:r>
              <a:rPr lang="en-US"/>
              <a:t>probits vs dose</a:t>
            </a:r>
          </a:p>
        </c:rich>
      </c:tx>
      <c:layout>
        <c:manualLayout>
          <c:xMode val="edge"/>
          <c:yMode val="edge"/>
          <c:x val="0.37706174372044887"/>
          <c:y val="4.0937148299003093E-2"/>
        </c:manualLayout>
      </c:layout>
      <c:overlay val="0"/>
      <c:spPr>
        <a:noFill/>
        <a:ln w="25400">
          <a:noFill/>
        </a:ln>
      </c:spPr>
    </c:title>
    <c:autoTitleDeleted val="0"/>
    <c:plotArea>
      <c:layout>
        <c:manualLayout>
          <c:layoutTarget val="inner"/>
          <c:xMode val="edge"/>
          <c:yMode val="edge"/>
          <c:x val="0.11147912423039358"/>
          <c:y val="0.28656003809302166"/>
          <c:w val="0.7803538696127551"/>
          <c:h val="0.49709394363075182"/>
        </c:manualLayout>
      </c:layout>
      <c:scatterChart>
        <c:scatterStyle val="lineMarker"/>
        <c:varyColors val="0"/>
        <c:ser>
          <c:idx val="0"/>
          <c:order val="0"/>
          <c:tx>
            <c:strRef>
              <c:f>'Probit Analysis'!$F$4</c:f>
              <c:strCache>
                <c:ptCount val="1"/>
                <c:pt idx="0">
                  <c:v>probits</c:v>
                </c:pt>
              </c:strCache>
            </c:strRef>
          </c:tx>
          <c:spPr>
            <a:ln w="12700">
              <a:solidFill>
                <a:srgbClr val="000000"/>
              </a:solidFill>
              <a:prstDash val="solid"/>
            </a:ln>
          </c:spPr>
          <c:marker>
            <c:symbol val="square"/>
            <c:size val="5"/>
            <c:spPr>
              <a:solidFill>
                <a:srgbClr val="FF0000"/>
              </a:solidFill>
              <a:ln>
                <a:solidFill>
                  <a:srgbClr val="000000"/>
                </a:solidFill>
                <a:prstDash val="solid"/>
              </a:ln>
            </c:spPr>
          </c:marker>
          <c:xVal>
            <c:numRef>
              <c:f>[0]!dose</c:f>
              <c:numCache>
                <c:formatCode>0.000%</c:formatCode>
                <c:ptCount val="11"/>
                <c:pt idx="0">
                  <c:v>3.333E-3</c:v>
                </c:pt>
                <c:pt idx="1">
                  <c:v>4.1660000000000004E-3</c:v>
                </c:pt>
                <c:pt idx="2">
                  <c:v>4.5830000000000003E-3</c:v>
                </c:pt>
                <c:pt idx="3">
                  <c:v>5.0000000000000001E-3</c:v>
                </c:pt>
              </c:numCache>
            </c:numRef>
          </c:xVal>
          <c:yVal>
            <c:numRef>
              <c:f>[0]!probits</c:f>
              <c:numCache>
                <c:formatCode>General</c:formatCode>
                <c:ptCount val="11"/>
                <c:pt idx="0">
                  <c:v>3.9083796325658318</c:v>
                </c:pt>
                <c:pt idx="1">
                  <c:v>4.8266801223099485</c:v>
                </c:pt>
                <c:pt idx="2">
                  <c:v>5.7391762178696046</c:v>
                </c:pt>
                <c:pt idx="3">
                  <c:v>6.9651230274150544</c:v>
                </c:pt>
                <c:pt idx="4">
                  <c:v>#N/A</c:v>
                </c:pt>
                <c:pt idx="5">
                  <c:v>#N/A</c:v>
                </c:pt>
                <c:pt idx="6">
                  <c:v>#N/A</c:v>
                </c:pt>
                <c:pt idx="7">
                  <c:v>#N/A</c:v>
                </c:pt>
                <c:pt idx="8">
                  <c:v>#N/A</c:v>
                </c:pt>
                <c:pt idx="9">
                  <c:v>#N/A</c:v>
                </c:pt>
                <c:pt idx="10">
                  <c:v>#N/A</c:v>
                </c:pt>
              </c:numCache>
            </c:numRef>
          </c:yVal>
          <c:smooth val="0"/>
          <c:extLst>
            <c:ext xmlns:c16="http://schemas.microsoft.com/office/drawing/2014/chart" uri="{C3380CC4-5D6E-409C-BE32-E72D297353CC}">
              <c16:uniqueId val="{00000000-F41E-BB45-8CFE-DAD470307BCD}"/>
            </c:ext>
          </c:extLst>
        </c:ser>
        <c:dLbls>
          <c:showLegendKey val="0"/>
          <c:showVal val="0"/>
          <c:showCatName val="0"/>
          <c:showSerName val="0"/>
          <c:showPercent val="0"/>
          <c:showBubbleSize val="0"/>
        </c:dLbls>
        <c:axId val="1609846656"/>
        <c:axId val="1"/>
      </c:scatterChart>
      <c:valAx>
        <c:axId val="1609846656"/>
        <c:scaling>
          <c:orientation val="minMax"/>
        </c:scaling>
        <c:delete val="0"/>
        <c:axPos val="b"/>
        <c:numFmt formatCode="0.0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Geneva"/>
                <a:ea typeface="Geneva"/>
                <a:cs typeface="Geneva"/>
              </a:defRPr>
            </a:pPr>
            <a:endParaRPr lang="en-US"/>
          </a:p>
        </c:txPr>
        <c:crossAx val="1"/>
        <c:crosses val="autoZero"/>
        <c:crossBetween val="midCat"/>
      </c:valAx>
      <c:valAx>
        <c:axId val="1"/>
        <c:scaling>
          <c:orientation val="minMax"/>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Geneva"/>
                <a:ea typeface="Geneva"/>
                <a:cs typeface="Geneva"/>
              </a:defRPr>
            </a:pPr>
            <a:endParaRPr lang="en-US"/>
          </a:p>
        </c:txPr>
        <c:crossAx val="1609846656"/>
        <c:crosses val="autoZero"/>
        <c:crossBetween val="midCat"/>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Geneva"/>
          <a:ea typeface="Geneva"/>
          <a:cs typeface="Geneva"/>
        </a:defRPr>
      </a:pPr>
      <a:endParaRPr lang="en-US"/>
    </a:p>
  </c:txPr>
  <c:printSettings>
    <c:headerFooter alignWithMargins="0">
      <c:oddHeader>&amp;F</c:oddHeader>
      <c:oddFooter>Page &amp;P</c:oddFooter>
    </c:headerFooter>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38100</xdr:colOff>
      <xdr:row>28</xdr:row>
      <xdr:rowOff>165100</xdr:rowOff>
    </xdr:from>
    <xdr:to>
      <xdr:col>4</xdr:col>
      <xdr:colOff>419100</xdr:colOff>
      <xdr:row>41</xdr:row>
      <xdr:rowOff>50800</xdr:rowOff>
    </xdr:to>
    <xdr:graphicFrame macro="">
      <xdr:nvGraphicFramePr>
        <xdr:cNvPr id="2049" name="Chart 1">
          <a:extLst>
            <a:ext uri="{FF2B5EF4-FFF2-40B4-BE49-F238E27FC236}">
              <a16:creationId xmlns:a16="http://schemas.microsoft.com/office/drawing/2014/main" id="{66406E12-32D3-8742-83BB-FE48EC435F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482600</xdr:colOff>
      <xdr:row>29</xdr:row>
      <xdr:rowOff>0</xdr:rowOff>
    </xdr:from>
    <xdr:to>
      <xdr:col>9</xdr:col>
      <xdr:colOff>635000</xdr:colOff>
      <xdr:row>41</xdr:row>
      <xdr:rowOff>63500</xdr:rowOff>
    </xdr:to>
    <xdr:graphicFrame macro="">
      <xdr:nvGraphicFramePr>
        <xdr:cNvPr id="2050" name="Chart 2">
          <a:extLst>
            <a:ext uri="{FF2B5EF4-FFF2-40B4-BE49-F238E27FC236}">
              <a16:creationId xmlns:a16="http://schemas.microsoft.com/office/drawing/2014/main" id="{D62E3FA4-894F-3A40-B08A-F15522F623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1</xdr:row>
      <xdr:rowOff>12700</xdr:rowOff>
    </xdr:from>
    <xdr:to>
      <xdr:col>15</xdr:col>
      <xdr:colOff>647700</xdr:colOff>
      <xdr:row>28</xdr:row>
      <xdr:rowOff>114300</xdr:rowOff>
    </xdr:to>
    <xdr:graphicFrame macro="">
      <xdr:nvGraphicFramePr>
        <xdr:cNvPr id="2051" name="Chart 3">
          <a:extLst>
            <a:ext uri="{FF2B5EF4-FFF2-40B4-BE49-F238E27FC236}">
              <a16:creationId xmlns:a16="http://schemas.microsoft.com/office/drawing/2014/main" id="{D41AFF9D-CC11-E942-8F83-B0C725F95E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50800</xdr:colOff>
      <xdr:row>29</xdr:row>
      <xdr:rowOff>0</xdr:rowOff>
    </xdr:from>
    <xdr:to>
      <xdr:col>15</xdr:col>
      <xdr:colOff>622300</xdr:colOff>
      <xdr:row>41</xdr:row>
      <xdr:rowOff>38100</xdr:rowOff>
    </xdr:to>
    <xdr:graphicFrame macro="">
      <xdr:nvGraphicFramePr>
        <xdr:cNvPr id="2052" name="Chart 4">
          <a:extLst>
            <a:ext uri="{FF2B5EF4-FFF2-40B4-BE49-F238E27FC236}">
              <a16:creationId xmlns:a16="http://schemas.microsoft.com/office/drawing/2014/main" id="{E4A550C5-67A1-514B-A257-975C33707F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7"/>
  <sheetViews>
    <sheetView showGridLines="0" tabSelected="1" workbookViewId="0">
      <selection activeCell="N13" sqref="N13"/>
    </sheetView>
  </sheetViews>
  <sheetFormatPr baseColWidth="10" defaultRowHeight="14"/>
  <cols>
    <col min="1" max="1" width="11.28515625" style="15" customWidth="1"/>
    <col min="2" max="2" width="6.28515625" style="15" customWidth="1"/>
    <col min="3" max="3" width="6" style="15" customWidth="1"/>
    <col min="4" max="4" width="7.140625" style="15" customWidth="1"/>
    <col min="5" max="5" width="5.5703125" style="16" customWidth="1"/>
    <col min="6" max="6" width="6.5703125" style="15" customWidth="1"/>
    <col min="7" max="7" width="9.28515625" style="15" customWidth="1"/>
    <col min="8" max="8" width="4.85546875" style="15" customWidth="1"/>
    <col min="9" max="11" width="10.7109375" style="15"/>
    <col min="12" max="12" width="9.42578125" style="15" customWidth="1"/>
    <col min="13" max="13" width="4" style="15" customWidth="1"/>
    <col min="14" max="14" width="5.140625" style="15" customWidth="1"/>
    <col min="15" max="15" width="7.140625" style="15" customWidth="1"/>
    <col min="16" max="16" width="7.85546875" style="17" customWidth="1"/>
    <col min="17" max="17" width="7.5703125" style="15" customWidth="1"/>
    <col min="18" max="19" width="5.7109375" style="15" customWidth="1"/>
    <col min="20" max="20" width="7" style="15" customWidth="1"/>
    <col min="21" max="21" width="4.28515625" style="18" customWidth="1"/>
    <col min="22" max="22" width="7.7109375" style="15" customWidth="1"/>
    <col min="23" max="28" width="4.28515625" style="15" customWidth="1"/>
    <col min="29" max="16384" width="10.7109375" style="15"/>
  </cols>
  <sheetData>
    <row r="1" spans="1:32">
      <c r="A1" s="80" t="s">
        <v>130</v>
      </c>
      <c r="B1" s="44"/>
      <c r="C1" s="44"/>
      <c r="D1" s="44"/>
      <c r="E1" s="91"/>
      <c r="F1" s="44"/>
      <c r="G1" s="81"/>
      <c r="I1" s="80" t="s">
        <v>131</v>
      </c>
      <c r="J1" s="44"/>
      <c r="K1" s="44"/>
      <c r="L1" s="81"/>
    </row>
    <row r="2" spans="1:32">
      <c r="A2" s="85" t="s">
        <v>163</v>
      </c>
      <c r="B2" s="61"/>
      <c r="C2" s="61"/>
      <c r="D2" s="61"/>
      <c r="E2" s="75"/>
      <c r="F2" s="61"/>
      <c r="G2" s="88"/>
      <c r="H2" s="61"/>
      <c r="I2" s="85"/>
      <c r="J2" s="61"/>
      <c r="K2" s="61"/>
      <c r="L2" s="88"/>
      <c r="P2" s="15"/>
      <c r="U2" s="15"/>
    </row>
    <row r="3" spans="1:32" s="19" customFormat="1" ht="15" thickBot="1">
      <c r="A3" s="85" t="s">
        <v>207</v>
      </c>
      <c r="B3" s="61"/>
      <c r="C3" s="61"/>
      <c r="D3" s="61"/>
      <c r="E3" s="75"/>
      <c r="F3" s="61"/>
      <c r="G3" s="88"/>
      <c r="H3" s="98"/>
      <c r="I3" s="85"/>
      <c r="J3" s="40" t="s">
        <v>61</v>
      </c>
      <c r="K3" s="40" t="s">
        <v>62</v>
      </c>
      <c r="L3" s="39"/>
      <c r="M3"/>
    </row>
    <row r="4" spans="1:32" ht="46" thickBot="1">
      <c r="A4" s="72" t="s">
        <v>165</v>
      </c>
      <c r="B4" s="71" t="s">
        <v>166</v>
      </c>
      <c r="C4" s="29" t="s">
        <v>167</v>
      </c>
      <c r="D4" s="29" t="s">
        <v>168</v>
      </c>
      <c r="E4" s="30" t="s">
        <v>169</v>
      </c>
      <c r="F4" s="29" t="s">
        <v>170</v>
      </c>
      <c r="G4" s="92" t="s">
        <v>171</v>
      </c>
      <c r="H4" s="31"/>
      <c r="I4" s="99" t="s">
        <v>172</v>
      </c>
      <c r="J4" s="33">
        <v>2.4710437000000001</v>
      </c>
      <c r="K4" s="33">
        <v>2.2046226</v>
      </c>
      <c r="L4" s="88"/>
      <c r="AD4" s="19"/>
    </row>
    <row r="5" spans="1:32" ht="15" thickBot="1">
      <c r="A5" s="60" t="s">
        <v>179</v>
      </c>
      <c r="B5" s="46">
        <v>2.5000000000000001E-2</v>
      </c>
      <c r="C5" s="77">
        <v>2.92</v>
      </c>
      <c r="D5" s="46"/>
      <c r="E5" s="75" t="str">
        <f>IF(OR(FieldRate="",slope=""),"",FieldRate/_LD50)</f>
        <v/>
      </c>
      <c r="F5" s="75" t="str">
        <f>IF(factor="","",slope*LOG(factor))</f>
        <v/>
      </c>
      <c r="G5" s="93" t="str">
        <f>IF(F5="","",NORMSDIST(slope*LOG(factor)))</f>
        <v/>
      </c>
      <c r="H5" s="31"/>
      <c r="I5" s="100" t="s">
        <v>60</v>
      </c>
      <c r="J5" s="101"/>
      <c r="K5" s="101" t="s">
        <v>59</v>
      </c>
      <c r="L5" s="88"/>
      <c r="M5" s="40"/>
      <c r="AE5" s="23"/>
      <c r="AF5" s="23"/>
    </row>
    <row r="6" spans="1:32">
      <c r="A6" s="60" t="s">
        <v>182</v>
      </c>
      <c r="B6" s="47">
        <v>1.29</v>
      </c>
      <c r="C6" s="62">
        <v>2.39</v>
      </c>
      <c r="D6" s="47"/>
      <c r="E6" s="75" t="str">
        <f t="shared" ref="E6:E14" si="0">IF(OR(FieldRate="",slope=""),"",FieldRate/_LD50)</f>
        <v/>
      </c>
      <c r="F6" s="75" t="str">
        <f t="shared" ref="F6:F15" si="1">IF(factor="","",slope*LOG(factor))</f>
        <v/>
      </c>
      <c r="G6" s="93" t="str">
        <f t="shared" ref="G6:G15" si="2">IF(F6="","",NORMSDIST(slope*LOG(factor)))</f>
        <v/>
      </c>
      <c r="H6" s="31"/>
      <c r="I6" s="50">
        <v>1</v>
      </c>
      <c r="J6" s="63" t="s">
        <v>212</v>
      </c>
      <c r="K6" s="67">
        <f>I7*(1/AcPerHa)*LbsPerKg</f>
        <v>0.89218276471597813</v>
      </c>
      <c r="L6" s="43" t="s">
        <v>180</v>
      </c>
      <c r="M6" s="40"/>
      <c r="AE6" s="23"/>
      <c r="AF6" s="23"/>
    </row>
    <row r="7" spans="1:32" ht="15" thickBot="1">
      <c r="A7" s="60" t="s">
        <v>184</v>
      </c>
      <c r="B7" s="47">
        <v>0.159</v>
      </c>
      <c r="C7" s="62">
        <v>5.52</v>
      </c>
      <c r="D7" s="47"/>
      <c r="E7" s="75" t="str">
        <f t="shared" si="0"/>
        <v/>
      </c>
      <c r="F7" s="75" t="str">
        <f t="shared" si="1"/>
        <v/>
      </c>
      <c r="G7" s="93" t="str">
        <f t="shared" si="2"/>
        <v/>
      </c>
      <c r="H7" s="31"/>
      <c r="I7" s="51">
        <v>1</v>
      </c>
      <c r="J7" s="64" t="s">
        <v>213</v>
      </c>
      <c r="K7" s="68">
        <f>I6/(LbsPerKg/AcPerHa)</f>
        <v>1.1208465793646496</v>
      </c>
      <c r="L7" s="37" t="s">
        <v>183</v>
      </c>
      <c r="M7" s="40"/>
      <c r="AE7" s="23"/>
      <c r="AF7" s="23"/>
    </row>
    <row r="8" spans="1:32">
      <c r="A8" s="60" t="s">
        <v>185</v>
      </c>
      <c r="B8" s="47">
        <v>0.30499999999999999</v>
      </c>
      <c r="C8" s="62">
        <v>7.77</v>
      </c>
      <c r="D8" s="47"/>
      <c r="E8" s="75" t="str">
        <f t="shared" si="0"/>
        <v/>
      </c>
      <c r="F8" s="75" t="str">
        <f t="shared" si="1"/>
        <v/>
      </c>
      <c r="G8" s="93" t="str">
        <f t="shared" si="2"/>
        <v/>
      </c>
      <c r="H8" s="31"/>
      <c r="I8" s="50">
        <v>1</v>
      </c>
      <c r="J8" s="65" t="s">
        <v>213</v>
      </c>
      <c r="K8" s="69">
        <f>I8*16</f>
        <v>16</v>
      </c>
      <c r="L8" s="43" t="s">
        <v>58</v>
      </c>
      <c r="M8" s="40"/>
      <c r="AE8" s="23"/>
      <c r="AF8" s="23"/>
    </row>
    <row r="9" spans="1:32" ht="15" thickBot="1">
      <c r="A9" s="60" t="s">
        <v>186</v>
      </c>
      <c r="B9" s="47">
        <v>0.11</v>
      </c>
      <c r="C9" s="62">
        <v>10.17</v>
      </c>
      <c r="D9" s="47"/>
      <c r="E9" s="75" t="str">
        <f t="shared" si="0"/>
        <v/>
      </c>
      <c r="F9" s="75" t="str">
        <f t="shared" si="1"/>
        <v/>
      </c>
      <c r="G9" s="93" t="str">
        <f t="shared" si="2"/>
        <v/>
      </c>
      <c r="H9" s="31"/>
      <c r="I9" s="51">
        <v>1</v>
      </c>
      <c r="J9" s="66" t="s">
        <v>214</v>
      </c>
      <c r="K9" s="70">
        <f>I9/16</f>
        <v>6.25E-2</v>
      </c>
      <c r="L9" s="37" t="s">
        <v>180</v>
      </c>
      <c r="M9"/>
      <c r="AE9" s="23"/>
      <c r="AF9" s="23"/>
    </row>
    <row r="10" spans="1:32">
      <c r="A10" s="60" t="s">
        <v>187</v>
      </c>
      <c r="B10" s="47">
        <v>0.72599999999999998</v>
      </c>
      <c r="C10" s="62">
        <v>7.83</v>
      </c>
      <c r="D10" s="48"/>
      <c r="E10" s="75" t="str">
        <f t="shared" si="0"/>
        <v/>
      </c>
      <c r="F10" s="75" t="str">
        <f t="shared" si="1"/>
        <v/>
      </c>
      <c r="G10" s="93" t="str">
        <f t="shared" si="2"/>
        <v/>
      </c>
      <c r="H10" s="31"/>
      <c r="K10"/>
      <c r="L10"/>
      <c r="M10"/>
    </row>
    <row r="11" spans="1:32">
      <c r="A11" s="60"/>
      <c r="B11" s="47"/>
      <c r="C11" s="62"/>
      <c r="D11" s="47"/>
      <c r="E11" s="75" t="str">
        <f t="shared" si="0"/>
        <v/>
      </c>
      <c r="F11" s="75" t="str">
        <f t="shared" si="1"/>
        <v/>
      </c>
      <c r="G11" s="93" t="str">
        <f t="shared" si="2"/>
        <v/>
      </c>
      <c r="H11" s="31"/>
      <c r="K11"/>
      <c r="L11"/>
      <c r="M11"/>
    </row>
    <row r="12" spans="1:32" ht="15" thickBot="1">
      <c r="A12" s="60"/>
      <c r="B12" s="47">
        <v>2</v>
      </c>
      <c r="C12" s="62">
        <v>1</v>
      </c>
      <c r="D12" s="47">
        <v>1</v>
      </c>
      <c r="E12" s="75">
        <f t="shared" si="0"/>
        <v>0.5</v>
      </c>
      <c r="F12" s="75">
        <f t="shared" si="1"/>
        <v>-0.3010299956639812</v>
      </c>
      <c r="G12" s="93">
        <f t="shared" si="2"/>
        <v>0.38169581076965786</v>
      </c>
      <c r="H12" s="31"/>
      <c r="M12"/>
    </row>
    <row r="13" spans="1:32">
      <c r="A13" s="60"/>
      <c r="B13" s="47">
        <v>2</v>
      </c>
      <c r="C13" s="62">
        <v>2</v>
      </c>
      <c r="D13" s="47">
        <v>4</v>
      </c>
      <c r="E13" s="75">
        <f t="shared" si="0"/>
        <v>2</v>
      </c>
      <c r="F13" s="75">
        <f t="shared" si="1"/>
        <v>0.6020599913279624</v>
      </c>
      <c r="G13" s="93">
        <f t="shared" si="2"/>
        <v>0.72643289751382289</v>
      </c>
      <c r="H13" s="31"/>
      <c r="I13" s="80" t="s">
        <v>128</v>
      </c>
      <c r="J13" s="44"/>
      <c r="K13" s="44"/>
      <c r="L13" s="81"/>
      <c r="M13"/>
    </row>
    <row r="14" spans="1:32">
      <c r="A14" s="60"/>
      <c r="B14" s="47">
        <v>2</v>
      </c>
      <c r="C14" s="62">
        <v>3</v>
      </c>
      <c r="D14" s="47">
        <v>4</v>
      </c>
      <c r="E14" s="75">
        <f t="shared" si="0"/>
        <v>2</v>
      </c>
      <c r="F14" s="75">
        <f t="shared" si="1"/>
        <v>0.90308998699194354</v>
      </c>
      <c r="G14" s="93">
        <f t="shared" si="2"/>
        <v>0.81676093110333881</v>
      </c>
      <c r="I14" s="38"/>
      <c r="J14" s="32" t="s">
        <v>226</v>
      </c>
      <c r="K14" s="32" t="s">
        <v>227</v>
      </c>
      <c r="L14" s="82" t="s">
        <v>228</v>
      </c>
      <c r="M14"/>
    </row>
    <row r="15" spans="1:32">
      <c r="A15" s="94" t="s">
        <v>215</v>
      </c>
      <c r="B15" s="73">
        <v>2</v>
      </c>
      <c r="C15" s="76">
        <v>2</v>
      </c>
      <c r="D15" s="73">
        <v>4</v>
      </c>
      <c r="E15" s="74">
        <f>IF(OR(FieldRate="",slope=""),"",Newfactor*11.21*FieldRate/_LD50)</f>
        <v>1.9977032319184314</v>
      </c>
      <c r="F15" s="74">
        <f t="shared" si="1"/>
        <v>0.60106194444362149</v>
      </c>
      <c r="G15" s="95">
        <f t="shared" si="2"/>
        <v>0.72610063548709181</v>
      </c>
      <c r="H15" s="31" t="s">
        <v>132</v>
      </c>
      <c r="I15" s="83" t="s">
        <v>216</v>
      </c>
      <c r="J15" s="73">
        <v>3</v>
      </c>
      <c r="K15" s="73">
        <v>0.86</v>
      </c>
      <c r="L15" s="84">
        <f t="shared" ref="L15:L21" si="3">0.5^(TofExposure/halflife)</f>
        <v>8.9103623189938946E-2</v>
      </c>
      <c r="M15"/>
    </row>
    <row r="16" spans="1:32">
      <c r="A16" s="96"/>
      <c r="B16" s="61"/>
      <c r="C16" s="59"/>
      <c r="D16" s="61"/>
      <c r="E16" s="75"/>
      <c r="F16" s="61"/>
      <c r="G16" s="88"/>
      <c r="H16"/>
      <c r="I16" s="38"/>
      <c r="J16" s="47">
        <v>3</v>
      </c>
      <c r="K16" s="47">
        <v>0.86</v>
      </c>
      <c r="L16" s="39">
        <f t="shared" si="3"/>
        <v>8.9103623189938946E-2</v>
      </c>
    </row>
    <row r="17" spans="1:13">
      <c r="A17" s="97" t="s">
        <v>188</v>
      </c>
      <c r="B17" s="79"/>
      <c r="C17" s="79"/>
      <c r="D17" s="79"/>
      <c r="E17" s="79"/>
      <c r="F17" s="79"/>
      <c r="G17" s="87"/>
      <c r="H17"/>
      <c r="I17" s="38"/>
      <c r="J17" s="47">
        <v>1</v>
      </c>
      <c r="K17" s="47">
        <v>0.86</v>
      </c>
      <c r="L17" s="39">
        <f t="shared" si="3"/>
        <v>0.44664771992900421</v>
      </c>
    </row>
    <row r="18" spans="1:13">
      <c r="A18" s="85" t="s">
        <v>192</v>
      </c>
      <c r="B18" s="40"/>
      <c r="C18" s="40"/>
      <c r="D18" s="40"/>
      <c r="E18" s="40"/>
      <c r="F18" s="40"/>
      <c r="G18" s="39"/>
      <c r="H18"/>
      <c r="I18" s="38"/>
      <c r="J18" s="47">
        <v>4</v>
      </c>
      <c r="K18" s="47">
        <v>0.86</v>
      </c>
      <c r="L18" s="39">
        <f t="shared" si="3"/>
        <v>3.9797930135199375E-2</v>
      </c>
    </row>
    <row r="19" spans="1:13">
      <c r="A19" s="85" t="s">
        <v>195</v>
      </c>
      <c r="B19" s="40"/>
      <c r="C19" s="40"/>
      <c r="D19" s="40"/>
      <c r="E19" s="40"/>
      <c r="F19" s="40"/>
      <c r="G19" s="39"/>
      <c r="H19"/>
      <c r="I19" s="38"/>
      <c r="J19" s="47">
        <v>8</v>
      </c>
      <c r="K19" s="47">
        <v>0.86</v>
      </c>
      <c r="L19" s="39">
        <f t="shared" si="3"/>
        <v>1.5838752430462103E-3</v>
      </c>
    </row>
    <row r="20" spans="1:13">
      <c r="A20" s="85" t="s">
        <v>198</v>
      </c>
      <c r="B20" s="40"/>
      <c r="C20" s="40"/>
      <c r="D20" s="40"/>
      <c r="E20" s="40"/>
      <c r="F20" s="40"/>
      <c r="G20" s="39"/>
      <c r="H20"/>
      <c r="I20" s="38"/>
      <c r="J20" s="47">
        <v>12</v>
      </c>
      <c r="K20" s="47">
        <v>0.86</v>
      </c>
      <c r="L20" s="39">
        <f t="shared" si="3"/>
        <v>6.3034956265625028E-5</v>
      </c>
      <c r="M20"/>
    </row>
    <row r="21" spans="1:13">
      <c r="A21" s="85" t="s">
        <v>201</v>
      </c>
      <c r="B21" s="40"/>
      <c r="C21" s="40"/>
      <c r="D21" s="40"/>
      <c r="E21" s="40"/>
      <c r="F21" s="40"/>
      <c r="G21" s="39"/>
      <c r="H21"/>
      <c r="I21" s="38"/>
      <c r="J21" s="49">
        <v>14</v>
      </c>
      <c r="K21" s="49">
        <v>0.86</v>
      </c>
      <c r="L21" s="39">
        <f t="shared" si="3"/>
        <v>1.2575107271966623E-5</v>
      </c>
      <c r="M21"/>
    </row>
    <row r="22" spans="1:13">
      <c r="A22" s="85" t="s">
        <v>204</v>
      </c>
      <c r="B22" s="40"/>
      <c r="C22" s="40"/>
      <c r="D22" s="40"/>
      <c r="E22" s="40"/>
      <c r="F22" s="40"/>
      <c r="G22" s="39"/>
      <c r="H22"/>
      <c r="I22" s="85"/>
      <c r="J22" s="61"/>
      <c r="K22" s="40"/>
      <c r="L22" s="39"/>
    </row>
    <row r="23" spans="1:13">
      <c r="A23" s="85" t="s">
        <v>223</v>
      </c>
      <c r="B23" s="40"/>
      <c r="C23" s="40"/>
      <c r="D23" s="40"/>
      <c r="E23" s="40"/>
      <c r="F23" s="40"/>
      <c r="G23" s="39"/>
      <c r="H23"/>
      <c r="I23" s="86" t="s">
        <v>217</v>
      </c>
      <c r="J23" s="79" t="s">
        <v>123</v>
      </c>
      <c r="K23" s="79"/>
      <c r="L23" s="87"/>
    </row>
    <row r="24" spans="1:13">
      <c r="A24" s="85" t="s">
        <v>225</v>
      </c>
      <c r="B24" s="40"/>
      <c r="C24" s="40"/>
      <c r="D24" s="40"/>
      <c r="E24" s="40"/>
      <c r="F24" s="40"/>
      <c r="G24" s="39"/>
      <c r="H24"/>
      <c r="I24" s="85" t="s">
        <v>189</v>
      </c>
      <c r="J24" s="61"/>
      <c r="K24" s="59"/>
      <c r="L24" s="88"/>
    </row>
    <row r="25" spans="1:13">
      <c r="A25" s="85" t="s">
        <v>230</v>
      </c>
      <c r="B25" s="40"/>
      <c r="C25" s="40"/>
      <c r="D25" s="40"/>
      <c r="E25" s="40"/>
      <c r="F25" s="40"/>
      <c r="G25" s="39"/>
      <c r="H25"/>
      <c r="I25" s="85" t="s">
        <v>218</v>
      </c>
      <c r="J25" s="61"/>
      <c r="K25" s="59"/>
      <c r="L25" s="88"/>
    </row>
    <row r="26" spans="1:13" ht="15" thickBot="1">
      <c r="A26" s="45" t="s">
        <v>233</v>
      </c>
      <c r="B26" s="36"/>
      <c r="C26" s="36"/>
      <c r="D26" s="36"/>
      <c r="E26" s="36"/>
      <c r="F26" s="36"/>
      <c r="G26" s="37"/>
      <c r="H26"/>
      <c r="I26" s="85" t="s">
        <v>219</v>
      </c>
      <c r="J26" s="61"/>
      <c r="K26" s="59"/>
      <c r="L26" s="88"/>
    </row>
    <row r="27" spans="1:13" ht="15" thickBot="1">
      <c r="B27"/>
      <c r="C27"/>
      <c r="D27"/>
      <c r="E27"/>
      <c r="F27"/>
      <c r="G27"/>
      <c r="H27"/>
      <c r="I27" s="85" t="s">
        <v>220</v>
      </c>
      <c r="J27" s="61"/>
      <c r="K27" s="59"/>
      <c r="L27" s="88"/>
      <c r="M27" s="59"/>
    </row>
    <row r="28" spans="1:13">
      <c r="B28" s="102" t="s">
        <v>208</v>
      </c>
      <c r="C28" s="103"/>
      <c r="D28" s="103"/>
      <c r="E28" s="103"/>
      <c r="F28" s="103"/>
      <c r="G28" s="104"/>
      <c r="H28"/>
      <c r="I28" s="85" t="s">
        <v>211</v>
      </c>
      <c r="J28" s="61"/>
      <c r="K28" s="59"/>
      <c r="L28" s="88"/>
      <c r="M28"/>
    </row>
    <row r="29" spans="1:13">
      <c r="B29" s="105" t="s">
        <v>209</v>
      </c>
      <c r="C29" s="106"/>
      <c r="D29" s="106"/>
      <c r="E29" s="106"/>
      <c r="F29" s="106"/>
      <c r="G29" s="107"/>
      <c r="H29"/>
      <c r="I29" s="85" t="s">
        <v>221</v>
      </c>
      <c r="J29" s="61"/>
      <c r="K29" s="61"/>
      <c r="L29" s="88"/>
      <c r="M29"/>
    </row>
    <row r="30" spans="1:13" ht="15" thickBot="1">
      <c r="B30" s="108" t="s">
        <v>210</v>
      </c>
      <c r="C30" s="109"/>
      <c r="D30" s="109"/>
      <c r="E30" s="109"/>
      <c r="F30" s="109"/>
      <c r="G30" s="110"/>
      <c r="H30"/>
      <c r="I30" s="85" t="s">
        <v>222</v>
      </c>
      <c r="J30" s="61"/>
      <c r="K30" s="61"/>
      <c r="L30" s="88"/>
      <c r="M30"/>
    </row>
    <row r="31" spans="1:13" ht="15" thickBot="1">
      <c r="H31"/>
      <c r="I31" s="45" t="s">
        <v>129</v>
      </c>
      <c r="J31" s="89"/>
      <c r="K31" s="89"/>
      <c r="L31" s="90"/>
      <c r="M31"/>
    </row>
    <row r="32" spans="1:13">
      <c r="A32"/>
      <c r="H32"/>
      <c r="M32"/>
    </row>
    <row r="33" spans="1:14">
      <c r="A33"/>
      <c r="H33"/>
      <c r="M33"/>
    </row>
    <row r="34" spans="1:14">
      <c r="A34"/>
      <c r="B34"/>
      <c r="C34"/>
      <c r="D34"/>
      <c r="E34"/>
      <c r="F34"/>
      <c r="G34"/>
      <c r="H34"/>
      <c r="M34"/>
      <c r="N34" s="18"/>
    </row>
    <row r="35" spans="1:14">
      <c r="A35"/>
      <c r="B35"/>
      <c r="C35"/>
      <c r="D35"/>
      <c r="E35"/>
      <c r="F35"/>
      <c r="G35"/>
      <c r="H35"/>
      <c r="N35" s="18"/>
    </row>
    <row r="36" spans="1:14" ht="14" customHeight="1">
      <c r="A36"/>
      <c r="B36"/>
      <c r="C36"/>
      <c r="D36"/>
      <c r="E36"/>
      <c r="F36"/>
      <c r="G36"/>
      <c r="H36"/>
      <c r="N36" s="18"/>
    </row>
    <row r="37" spans="1:14">
      <c r="A37"/>
      <c r="B37"/>
      <c r="C37"/>
      <c r="D37"/>
      <c r="E37"/>
      <c r="F37"/>
      <c r="G37"/>
      <c r="H37"/>
      <c r="K37" s="18"/>
    </row>
    <row r="38" spans="1:14">
      <c r="A38"/>
      <c r="B38"/>
      <c r="C38"/>
      <c r="D38"/>
      <c r="E38"/>
      <c r="F38"/>
      <c r="G38"/>
      <c r="H38"/>
      <c r="I38"/>
      <c r="K38" s="18"/>
    </row>
    <row r="39" spans="1:14">
      <c r="A39"/>
      <c r="B39"/>
      <c r="C39"/>
      <c r="D39"/>
      <c r="E39"/>
      <c r="F39"/>
      <c r="G39"/>
      <c r="H39"/>
    </row>
    <row r="40" spans="1:14">
      <c r="A40"/>
      <c r="B40"/>
      <c r="C40"/>
      <c r="D40"/>
      <c r="E40"/>
      <c r="F40"/>
      <c r="G40"/>
      <c r="H40"/>
    </row>
    <row r="41" spans="1:14">
      <c r="A41"/>
      <c r="B41"/>
      <c r="C41"/>
      <c r="D41"/>
      <c r="E41"/>
      <c r="F41"/>
      <c r="G41"/>
      <c r="H41"/>
    </row>
    <row r="42" spans="1:14">
      <c r="A42"/>
      <c r="B42"/>
      <c r="C42"/>
      <c r="D42"/>
      <c r="E42"/>
      <c r="F42"/>
      <c r="G42"/>
      <c r="H42"/>
    </row>
    <row r="43" spans="1:14">
      <c r="A43"/>
      <c r="B43"/>
      <c r="C43"/>
      <c r="D43"/>
      <c r="E43"/>
      <c r="F43"/>
      <c r="G43"/>
      <c r="H43"/>
    </row>
    <row r="44" spans="1:14">
      <c r="A44"/>
      <c r="B44"/>
      <c r="C44"/>
      <c r="D44"/>
      <c r="E44"/>
      <c r="F44"/>
      <c r="G44"/>
      <c r="H44"/>
      <c r="I44"/>
      <c r="J44"/>
      <c r="K44"/>
      <c r="L44"/>
      <c r="M44"/>
    </row>
    <row r="45" spans="1:14">
      <c r="A45"/>
      <c r="B45"/>
      <c r="C45"/>
      <c r="D45"/>
      <c r="E45"/>
      <c r="F45"/>
      <c r="G45"/>
    </row>
    <row r="46" spans="1:14">
      <c r="C46" s="18"/>
    </row>
    <row r="47" spans="1:14">
      <c r="C47" s="18"/>
    </row>
    <row r="48" spans="1:14">
      <c r="C48" s="18"/>
    </row>
    <row r="49" spans="3:21">
      <c r="C49" s="18"/>
    </row>
    <row r="50" spans="3:21">
      <c r="C50" s="18"/>
      <c r="P50" s="15"/>
      <c r="U50" s="15"/>
    </row>
    <row r="51" spans="3:21">
      <c r="P51" s="15"/>
      <c r="U51" s="15"/>
    </row>
    <row r="52" spans="3:21">
      <c r="P52" s="15"/>
      <c r="U52" s="15"/>
    </row>
    <row r="53" spans="3:21">
      <c r="P53" s="15"/>
      <c r="U53" s="15"/>
    </row>
    <row r="54" spans="3:21">
      <c r="P54" s="15"/>
      <c r="U54" s="15"/>
    </row>
    <row r="55" spans="3:21">
      <c r="P55" s="15"/>
      <c r="U55" s="15"/>
    </row>
    <row r="56" spans="3:21">
      <c r="P56" s="15"/>
      <c r="U56" s="15"/>
    </row>
    <row r="57" spans="3:21">
      <c r="P57" s="15"/>
      <c r="U57" s="15"/>
    </row>
    <row r="58" spans="3:21">
      <c r="P58" s="15"/>
      <c r="U58" s="15"/>
    </row>
    <row r="59" spans="3:21">
      <c r="P59" s="15"/>
      <c r="U59" s="15"/>
    </row>
    <row r="60" spans="3:21">
      <c r="P60" s="15"/>
      <c r="U60" s="15"/>
    </row>
    <row r="61" spans="3:21">
      <c r="P61" s="15"/>
      <c r="U61" s="15"/>
    </row>
    <row r="62" spans="3:21">
      <c r="P62" s="15"/>
      <c r="U62" s="15"/>
    </row>
    <row r="63" spans="3:21">
      <c r="P63" s="15"/>
      <c r="U63" s="15"/>
    </row>
    <row r="64" spans="3:21">
      <c r="P64" s="15"/>
      <c r="U64" s="15"/>
    </row>
    <row r="65" spans="16:21">
      <c r="P65" s="15"/>
      <c r="U65" s="15"/>
    </row>
    <row r="66" spans="16:21">
      <c r="P66" s="15"/>
      <c r="U66" s="15"/>
    </row>
    <row r="67" spans="16:21">
      <c r="P67" s="15"/>
      <c r="U67" s="15"/>
    </row>
  </sheetData>
  <mergeCells count="3">
    <mergeCell ref="B28:G28"/>
    <mergeCell ref="B29:G29"/>
    <mergeCell ref="B30:G30"/>
  </mergeCells>
  <printOptions horizontalCentered="1" verticalCentered="1" gridLines="1"/>
  <pageMargins left="0.5" right="0.5" top="0.75" bottom="0.75" header="0.5" footer="0.5"/>
  <pageSetup orientation="landscape" blackAndWhite="1" horizontalDpi="0" verticalDpi="0" copies="0"/>
  <headerFooter alignWithMargins="0">
    <oddHeader>&amp;F</oddHeader>
    <oddFooter>Page &amp;P</oddFooter>
  </headerFooter>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sqref="A1:IV1"/>
    </sheetView>
  </sheetViews>
  <sheetFormatPr baseColWidth="10" defaultRowHeight="14"/>
  <cols>
    <col min="1" max="1" width="27.140625" customWidth="1"/>
  </cols>
  <sheetData>
    <row r="1" spans="1:7" ht="15" thickBot="1"/>
    <row r="2" spans="1:7">
      <c r="A2" t="s">
        <v>239</v>
      </c>
      <c r="B2" s="102" t="s">
        <v>238</v>
      </c>
      <c r="C2" s="103"/>
      <c r="D2" s="103"/>
      <c r="E2" s="104"/>
      <c r="F2" s="103" t="s">
        <v>237</v>
      </c>
      <c r="G2" s="104"/>
    </row>
    <row r="3" spans="1:7">
      <c r="A3" t="s">
        <v>54</v>
      </c>
      <c r="B3" s="38" t="s">
        <v>240</v>
      </c>
      <c r="C3" s="40" t="s">
        <v>241</v>
      </c>
      <c r="D3" s="40" t="s">
        <v>242</v>
      </c>
      <c r="E3" s="39" t="s">
        <v>242</v>
      </c>
      <c r="F3" s="40" t="s">
        <v>53</v>
      </c>
      <c r="G3" s="39"/>
    </row>
    <row r="4" spans="1:7" ht="15" thickBot="1">
      <c r="A4" t="s">
        <v>55</v>
      </c>
      <c r="B4" s="35" t="s">
        <v>177</v>
      </c>
      <c r="C4" s="36"/>
      <c r="D4" s="36"/>
      <c r="E4" s="37"/>
      <c r="F4" s="36" t="s">
        <v>0</v>
      </c>
      <c r="G4" s="37" t="s">
        <v>1</v>
      </c>
    </row>
    <row r="5" spans="1:7">
      <c r="A5" s="41" t="s">
        <v>235</v>
      </c>
    </row>
    <row r="6" spans="1:7">
      <c r="A6" s="41" t="s">
        <v>236</v>
      </c>
    </row>
    <row r="7" spans="1:7">
      <c r="A7" t="s">
        <v>2</v>
      </c>
      <c r="B7">
        <v>0.68</v>
      </c>
      <c r="C7" t="s">
        <v>3</v>
      </c>
      <c r="D7">
        <v>2E-3</v>
      </c>
      <c r="E7">
        <v>0.19700000000000001</v>
      </c>
      <c r="F7" t="s">
        <v>4</v>
      </c>
      <c r="G7" t="s">
        <v>5</v>
      </c>
    </row>
    <row r="8" spans="1:7">
      <c r="A8" t="s">
        <v>6</v>
      </c>
      <c r="B8">
        <v>3.95</v>
      </c>
      <c r="C8">
        <v>1.7000000000000001E-2</v>
      </c>
      <c r="D8">
        <v>3.5000000000000003E-2</v>
      </c>
      <c r="E8">
        <v>7.3999999999999996E-2</v>
      </c>
      <c r="F8" t="s">
        <v>4</v>
      </c>
      <c r="G8" t="s">
        <v>7</v>
      </c>
    </row>
    <row r="9" spans="1:7">
      <c r="A9" t="s">
        <v>8</v>
      </c>
      <c r="B9">
        <v>4.17</v>
      </c>
      <c r="C9">
        <v>3.1E-2</v>
      </c>
      <c r="D9">
        <v>6.2E-2</v>
      </c>
      <c r="E9">
        <v>0.126</v>
      </c>
      <c r="F9" t="s">
        <v>9</v>
      </c>
      <c r="G9" t="s">
        <v>9</v>
      </c>
    </row>
    <row r="10" spans="1:7">
      <c r="A10" t="s">
        <v>10</v>
      </c>
      <c r="B10">
        <v>4.88</v>
      </c>
      <c r="C10">
        <v>3.6999999999999998E-2</v>
      </c>
      <c r="D10">
        <v>6.7000000000000004E-2</v>
      </c>
      <c r="E10">
        <v>0.124</v>
      </c>
      <c r="F10" t="s">
        <v>11</v>
      </c>
      <c r="G10" t="s">
        <v>12</v>
      </c>
    </row>
    <row r="11" spans="1:7">
      <c r="A11" t="s">
        <v>13</v>
      </c>
      <c r="B11">
        <v>3.37</v>
      </c>
      <c r="C11">
        <v>3.5000000000000003E-2</v>
      </c>
      <c r="D11">
        <v>7.8E-2</v>
      </c>
      <c r="E11">
        <v>0.17199999999999999</v>
      </c>
      <c r="F11" t="s">
        <v>14</v>
      </c>
      <c r="G11" t="s">
        <v>12</v>
      </c>
    </row>
    <row r="12" spans="1:7">
      <c r="A12" t="s">
        <v>15</v>
      </c>
      <c r="B12">
        <v>10.17</v>
      </c>
      <c r="C12">
        <v>8.3000000000000004E-2</v>
      </c>
      <c r="D12">
        <v>0.11</v>
      </c>
      <c r="E12">
        <v>0.14699999999999999</v>
      </c>
      <c r="F12" t="s">
        <v>16</v>
      </c>
      <c r="G12" t="s">
        <v>17</v>
      </c>
    </row>
    <row r="13" spans="1:7">
      <c r="A13" t="s">
        <v>18</v>
      </c>
    </row>
    <row r="14" spans="1:7">
      <c r="A14" t="s">
        <v>19</v>
      </c>
      <c r="B14">
        <v>5.13</v>
      </c>
      <c r="C14">
        <v>6.3E-2</v>
      </c>
      <c r="D14">
        <v>0.111</v>
      </c>
      <c r="E14">
        <v>0.19700000000000001</v>
      </c>
      <c r="F14" t="s">
        <v>4</v>
      </c>
      <c r="G14" t="s">
        <v>20</v>
      </c>
    </row>
    <row r="15" spans="1:7">
      <c r="A15" t="s">
        <v>21</v>
      </c>
      <c r="B15">
        <v>2.5099999999999998</v>
      </c>
      <c r="C15">
        <v>4.1000000000000002E-2</v>
      </c>
      <c r="D15">
        <v>0.13300000000000001</v>
      </c>
      <c r="E15">
        <v>0.43099999999999999</v>
      </c>
      <c r="F15" t="s">
        <v>22</v>
      </c>
      <c r="G15" t="s">
        <v>23</v>
      </c>
    </row>
    <row r="16" spans="1:7">
      <c r="A16" t="s">
        <v>24</v>
      </c>
      <c r="B16">
        <v>6.14</v>
      </c>
      <c r="C16">
        <v>9.1999999999999998E-2</v>
      </c>
      <c r="D16">
        <v>0.14899999999999999</v>
      </c>
      <c r="E16">
        <v>0.24099999999999999</v>
      </c>
      <c r="F16" t="s">
        <v>25</v>
      </c>
      <c r="G16" t="s">
        <v>26</v>
      </c>
    </row>
    <row r="17" spans="1:7">
      <c r="A17" t="s">
        <v>27</v>
      </c>
      <c r="B17">
        <v>5.52</v>
      </c>
      <c r="C17">
        <v>9.4E-2</v>
      </c>
      <c r="D17">
        <v>0.159</v>
      </c>
      <c r="E17">
        <v>0.27200000000000002</v>
      </c>
      <c r="F17" t="s">
        <v>28</v>
      </c>
      <c r="G17" t="s">
        <v>7</v>
      </c>
    </row>
    <row r="18" spans="1:7">
      <c r="A18" t="s">
        <v>29</v>
      </c>
      <c r="B18">
        <v>4.96</v>
      </c>
      <c r="C18">
        <v>9.8000000000000004E-2</v>
      </c>
      <c r="D18">
        <v>0.17499999999999999</v>
      </c>
      <c r="E18">
        <v>0.32100000000000001</v>
      </c>
      <c r="F18" t="s">
        <v>30</v>
      </c>
      <c r="G18" t="s">
        <v>31</v>
      </c>
    </row>
    <row r="19" spans="1:7">
      <c r="A19" t="s">
        <v>32</v>
      </c>
      <c r="B19">
        <v>5.75</v>
      </c>
      <c r="C19">
        <v>0.105</v>
      </c>
      <c r="D19">
        <v>0.17599999999999999</v>
      </c>
      <c r="E19">
        <v>0.29399999999999998</v>
      </c>
    </row>
    <row r="20" spans="1:7">
      <c r="A20" t="s">
        <v>33</v>
      </c>
      <c r="B20">
        <v>5.84</v>
      </c>
      <c r="C20">
        <v>0.115</v>
      </c>
      <c r="D20">
        <v>0.191</v>
      </c>
      <c r="E20">
        <v>0.316</v>
      </c>
      <c r="F20" t="s">
        <v>34</v>
      </c>
      <c r="G20" t="s">
        <v>35</v>
      </c>
    </row>
    <row r="21" spans="1:7">
      <c r="A21" t="s">
        <v>36</v>
      </c>
      <c r="B21">
        <v>8.48</v>
      </c>
      <c r="C21">
        <v>0.16700000000000001</v>
      </c>
      <c r="D21">
        <v>0.23699999999999999</v>
      </c>
      <c r="E21">
        <v>0.33500000000000002</v>
      </c>
      <c r="F21" t="s">
        <v>37</v>
      </c>
      <c r="G21" t="s">
        <v>38</v>
      </c>
    </row>
    <row r="22" spans="1:7">
      <c r="A22" t="s">
        <v>39</v>
      </c>
      <c r="B22">
        <v>4.3099999999999996</v>
      </c>
      <c r="C22">
        <v>0.11899999999999999</v>
      </c>
      <c r="D22">
        <v>0.23699999999999999</v>
      </c>
      <c r="E22">
        <v>0.46899999999999997</v>
      </c>
      <c r="F22" t="s">
        <v>40</v>
      </c>
      <c r="G22" t="s">
        <v>23</v>
      </c>
    </row>
    <row r="23" spans="1:7">
      <c r="A23" t="s">
        <v>41</v>
      </c>
      <c r="B23">
        <v>5.13</v>
      </c>
      <c r="C23">
        <v>0.13600000000000001</v>
      </c>
      <c r="D23">
        <v>0.24099999999999999</v>
      </c>
      <c r="E23">
        <v>0.42799999999999999</v>
      </c>
    </row>
    <row r="24" spans="1:7">
      <c r="A24" t="s">
        <v>56</v>
      </c>
    </row>
    <row r="25" spans="1:7">
      <c r="A25" t="s">
        <v>42</v>
      </c>
      <c r="B25">
        <v>2.52</v>
      </c>
      <c r="C25">
        <v>8.2000000000000003E-2</v>
      </c>
      <c r="D25">
        <v>0.26400000000000001</v>
      </c>
      <c r="E25">
        <v>0.85</v>
      </c>
      <c r="F25" t="s">
        <v>43</v>
      </c>
      <c r="G25" t="s">
        <v>31</v>
      </c>
    </row>
    <row r="26" spans="1:7">
      <c r="A26" t="s">
        <v>44</v>
      </c>
      <c r="B26">
        <v>5</v>
      </c>
      <c r="C26">
        <v>0.151</v>
      </c>
      <c r="D26">
        <v>0.27200000000000002</v>
      </c>
      <c r="E26">
        <v>0.49099999999999999</v>
      </c>
      <c r="F26" t="s">
        <v>9</v>
      </c>
      <c r="G26" t="s">
        <v>9</v>
      </c>
    </row>
    <row r="27" spans="1:7">
      <c r="A27" t="s">
        <v>45</v>
      </c>
      <c r="B27">
        <v>4.87</v>
      </c>
      <c r="C27">
        <v>0.16500000000000001</v>
      </c>
      <c r="D27">
        <v>0.30199999999999999</v>
      </c>
      <c r="E27">
        <v>0.55300000000000005</v>
      </c>
      <c r="F27" t="s">
        <v>12</v>
      </c>
      <c r="G27" t="s">
        <v>46</v>
      </c>
    </row>
    <row r="28" spans="1:7">
      <c r="A28" t="s">
        <v>47</v>
      </c>
      <c r="B28">
        <v>15.86</v>
      </c>
      <c r="C28">
        <v>0.253</v>
      </c>
      <c r="D28">
        <v>0.30499999999999999</v>
      </c>
      <c r="E28">
        <v>0.36699999999999999</v>
      </c>
      <c r="F28" t="s">
        <v>48</v>
      </c>
      <c r="G28" t="s">
        <v>23</v>
      </c>
    </row>
    <row r="29" spans="1:7">
      <c r="A29" t="s">
        <v>49</v>
      </c>
      <c r="B29">
        <v>7.77</v>
      </c>
      <c r="C29">
        <v>0.20899999999999999</v>
      </c>
      <c r="D29">
        <v>0.30499999999999999</v>
      </c>
      <c r="E29">
        <v>0.44600000000000001</v>
      </c>
      <c r="F29" t="s">
        <v>50</v>
      </c>
      <c r="G29" t="s">
        <v>17</v>
      </c>
    </row>
    <row r="30" spans="1:7">
      <c r="A30" t="s">
        <v>51</v>
      </c>
      <c r="B30">
        <v>6.14</v>
      </c>
      <c r="C30">
        <v>0.19700000000000001</v>
      </c>
      <c r="D30">
        <v>0.31900000000000001</v>
      </c>
      <c r="E30">
        <v>0.51500000000000001</v>
      </c>
      <c r="F30" t="s">
        <v>52</v>
      </c>
      <c r="G30" t="s">
        <v>26</v>
      </c>
    </row>
    <row r="31" spans="1:7">
      <c r="A31" t="s">
        <v>63</v>
      </c>
      <c r="B31">
        <v>4.78</v>
      </c>
      <c r="C31">
        <v>0.182</v>
      </c>
      <c r="D31">
        <v>0.33700000000000002</v>
      </c>
      <c r="E31">
        <v>0.624</v>
      </c>
      <c r="F31" t="s">
        <v>9</v>
      </c>
      <c r="G31" t="s">
        <v>9</v>
      </c>
    </row>
    <row r="32" spans="1:7">
      <c r="A32" t="s">
        <v>64</v>
      </c>
      <c r="B32">
        <v>5.0599999999999996</v>
      </c>
      <c r="C32">
        <v>0.19700000000000001</v>
      </c>
      <c r="D32">
        <v>0.35199999999999998</v>
      </c>
      <c r="E32">
        <v>0.629</v>
      </c>
      <c r="F32" t="s">
        <v>9</v>
      </c>
      <c r="G32" t="s">
        <v>9</v>
      </c>
    </row>
    <row r="33" spans="1:7">
      <c r="A33" t="s">
        <v>65</v>
      </c>
      <c r="B33">
        <v>8.31</v>
      </c>
      <c r="C33">
        <v>0.25</v>
      </c>
      <c r="D33">
        <v>0.35699999999999998</v>
      </c>
      <c r="E33">
        <v>0.50900000000000001</v>
      </c>
      <c r="F33" t="s">
        <v>9</v>
      </c>
      <c r="G33" t="s">
        <v>9</v>
      </c>
    </row>
    <row r="34" spans="1:7">
      <c r="A34" t="s">
        <v>66</v>
      </c>
      <c r="B34">
        <v>8.0299999999999994</v>
      </c>
      <c r="C34">
        <v>0.25800000000000001</v>
      </c>
      <c r="D34">
        <v>0.372</v>
      </c>
      <c r="E34">
        <v>0.53800000000000003</v>
      </c>
      <c r="F34" t="s">
        <v>16</v>
      </c>
      <c r="G34" t="s">
        <v>67</v>
      </c>
    </row>
    <row r="35" spans="1:7">
      <c r="A35" t="s">
        <v>68</v>
      </c>
      <c r="B35">
        <v>3.35</v>
      </c>
      <c r="C35">
        <v>0.154</v>
      </c>
      <c r="D35">
        <v>0.372</v>
      </c>
      <c r="E35">
        <v>0.89600000000000002</v>
      </c>
      <c r="F35" t="s">
        <v>69</v>
      </c>
      <c r="G35" t="s">
        <v>23</v>
      </c>
    </row>
    <row r="36" spans="1:7">
      <c r="A36" t="s">
        <v>70</v>
      </c>
      <c r="B36">
        <v>4.46</v>
      </c>
      <c r="C36">
        <v>0.21099999999999999</v>
      </c>
      <c r="D36">
        <v>0.40799999999999997</v>
      </c>
      <c r="E36">
        <v>0.79100000000000004</v>
      </c>
      <c r="F36" t="s">
        <v>71</v>
      </c>
      <c r="G36" t="s">
        <v>12</v>
      </c>
    </row>
    <row r="37" spans="1:7">
      <c r="A37" t="s">
        <v>72</v>
      </c>
      <c r="B37">
        <v>4.8499999999999996</v>
      </c>
      <c r="C37">
        <v>0.22500000000000001</v>
      </c>
      <c r="D37">
        <v>0.41399999999999998</v>
      </c>
      <c r="E37">
        <v>0.75900000000000001</v>
      </c>
      <c r="F37" t="s">
        <v>9</v>
      </c>
      <c r="G37" t="s">
        <v>9</v>
      </c>
    </row>
    <row r="38" spans="1:7">
      <c r="A38" t="s">
        <v>73</v>
      </c>
      <c r="B38">
        <v>7.43</v>
      </c>
      <c r="C38">
        <v>0.28799999999999998</v>
      </c>
      <c r="D38">
        <v>0.42799999999999999</v>
      </c>
      <c r="E38">
        <v>0.63700000000000001</v>
      </c>
      <c r="F38" t="s">
        <v>74</v>
      </c>
      <c r="G38" t="s">
        <v>35</v>
      </c>
    </row>
    <row r="39" spans="1:7">
      <c r="A39" t="s">
        <v>75</v>
      </c>
      <c r="B39">
        <v>3.28</v>
      </c>
      <c r="C39">
        <v>0.17399999999999999</v>
      </c>
      <c r="D39">
        <v>0.42799999999999999</v>
      </c>
      <c r="E39">
        <v>1.05</v>
      </c>
      <c r="F39" t="s">
        <v>9</v>
      </c>
      <c r="G39" t="s">
        <v>9</v>
      </c>
    </row>
    <row r="40" spans="1:7">
      <c r="A40" t="s">
        <v>76</v>
      </c>
      <c r="B40">
        <v>16.43</v>
      </c>
      <c r="C40">
        <v>0.40600000000000003</v>
      </c>
      <c r="D40">
        <v>0.48499999999999999</v>
      </c>
      <c r="E40">
        <v>0.58099999999999996</v>
      </c>
      <c r="F40" t="s">
        <v>77</v>
      </c>
      <c r="G40" t="s">
        <v>67</v>
      </c>
    </row>
    <row r="41" spans="1:7">
      <c r="A41" t="s">
        <v>78</v>
      </c>
      <c r="B41" s="34">
        <v>8.61</v>
      </c>
      <c r="C41">
        <v>0.35599999999999998</v>
      </c>
      <c r="D41">
        <v>0.501</v>
      </c>
      <c r="E41">
        <v>0.70499999999999996</v>
      </c>
      <c r="F41" t="s">
        <v>9</v>
      </c>
      <c r="G41" t="s">
        <v>9</v>
      </c>
    </row>
    <row r="42" spans="1:7">
      <c r="A42" t="s">
        <v>79</v>
      </c>
      <c r="B42">
        <v>5.94</v>
      </c>
      <c r="C42">
        <v>0.32</v>
      </c>
      <c r="D42">
        <v>0.52600000000000002</v>
      </c>
      <c r="E42">
        <v>0.86399999999999999</v>
      </c>
      <c r="F42" t="s">
        <v>9</v>
      </c>
      <c r="G42" t="s">
        <v>9</v>
      </c>
    </row>
    <row r="43" spans="1:7">
      <c r="A43" t="s">
        <v>80</v>
      </c>
      <c r="B43">
        <v>6.61</v>
      </c>
      <c r="C43">
        <v>0.38800000000000001</v>
      </c>
      <c r="D43">
        <v>0.60599999999999998</v>
      </c>
      <c r="E43">
        <v>0.94699999999999995</v>
      </c>
      <c r="F43" t="s">
        <v>9</v>
      </c>
      <c r="G43" t="s">
        <v>9</v>
      </c>
    </row>
    <row r="44" spans="1:7">
      <c r="A44" t="s">
        <v>81</v>
      </c>
      <c r="B44">
        <v>4.6900000000000004</v>
      </c>
      <c r="C44">
        <v>0.36199999999999999</v>
      </c>
      <c r="D44">
        <v>0.67800000000000005</v>
      </c>
      <c r="E44">
        <v>1.27</v>
      </c>
      <c r="F44" t="s">
        <v>82</v>
      </c>
      <c r="G44" t="s">
        <v>5</v>
      </c>
    </row>
    <row r="45" spans="1:7">
      <c r="A45" t="s">
        <v>83</v>
      </c>
      <c r="B45">
        <v>7.83</v>
      </c>
      <c r="C45">
        <v>0.49</v>
      </c>
      <c r="D45">
        <v>0.72599999999999998</v>
      </c>
      <c r="E45">
        <v>1.6</v>
      </c>
      <c r="F45" t="s">
        <v>84</v>
      </c>
      <c r="G45" t="s">
        <v>85</v>
      </c>
    </row>
    <row r="46" spans="1:7">
      <c r="A46" t="s">
        <v>86</v>
      </c>
      <c r="B46">
        <v>7.92</v>
      </c>
      <c r="C46">
        <v>0.66100000000000003</v>
      </c>
      <c r="D46">
        <v>0.95799999999999996</v>
      </c>
      <c r="E46">
        <v>1.39</v>
      </c>
      <c r="F46" t="s">
        <v>9</v>
      </c>
      <c r="G46" t="s">
        <v>9</v>
      </c>
    </row>
    <row r="47" spans="1:7">
      <c r="A47" t="s">
        <v>87</v>
      </c>
      <c r="B47">
        <v>3.61</v>
      </c>
      <c r="C47">
        <v>0.49399999999999999</v>
      </c>
      <c r="D47">
        <v>1.1200000000000001</v>
      </c>
      <c r="E47">
        <v>2.5299999999999998</v>
      </c>
      <c r="F47" t="s">
        <v>9</v>
      </c>
      <c r="G47" t="s">
        <v>9</v>
      </c>
    </row>
    <row r="48" spans="1:7">
      <c r="A48" t="s">
        <v>88</v>
      </c>
      <c r="B48">
        <v>3.55</v>
      </c>
      <c r="C48">
        <v>0.495</v>
      </c>
      <c r="D48">
        <v>1.1299999999999999</v>
      </c>
      <c r="E48">
        <v>2.6</v>
      </c>
      <c r="F48" t="s">
        <v>82</v>
      </c>
      <c r="G48" t="s">
        <v>67</v>
      </c>
    </row>
    <row r="49" spans="1:7">
      <c r="A49" t="s">
        <v>89</v>
      </c>
      <c r="B49">
        <v>8.26</v>
      </c>
      <c r="C49">
        <v>0.84099999999999997</v>
      </c>
      <c r="D49">
        <v>1.2</v>
      </c>
      <c r="E49">
        <v>1.72</v>
      </c>
      <c r="F49" t="s">
        <v>37</v>
      </c>
      <c r="G49" t="s">
        <v>17</v>
      </c>
    </row>
    <row r="50" spans="1:7">
      <c r="A50" t="s">
        <v>90</v>
      </c>
      <c r="B50">
        <v>2.39</v>
      </c>
      <c r="C50">
        <v>0.374</v>
      </c>
      <c r="D50">
        <v>1.29</v>
      </c>
      <c r="E50">
        <v>4.42</v>
      </c>
      <c r="F50" t="s">
        <v>11</v>
      </c>
      <c r="G50" t="s">
        <v>91</v>
      </c>
    </row>
    <row r="51" spans="1:7">
      <c r="A51" t="s">
        <v>92</v>
      </c>
      <c r="B51">
        <v>3.23</v>
      </c>
      <c r="C51">
        <v>0.53700000000000003</v>
      </c>
      <c r="D51">
        <v>1.34</v>
      </c>
      <c r="E51">
        <v>3.33</v>
      </c>
      <c r="F51" t="s">
        <v>9</v>
      </c>
      <c r="G51" t="s">
        <v>9</v>
      </c>
    </row>
    <row r="52" spans="1:7">
      <c r="A52" t="s">
        <v>93</v>
      </c>
      <c r="B52">
        <v>0.61</v>
      </c>
      <c r="C52">
        <v>1.04</v>
      </c>
      <c r="D52">
        <v>1.37</v>
      </c>
      <c r="E52">
        <v>1.81</v>
      </c>
      <c r="F52" t="s">
        <v>94</v>
      </c>
      <c r="G52" t="s">
        <v>95</v>
      </c>
    </row>
    <row r="53" spans="1:7">
      <c r="A53" t="s">
        <v>96</v>
      </c>
      <c r="B53">
        <v>3.96</v>
      </c>
      <c r="C53">
        <v>1.1299999999999999</v>
      </c>
      <c r="D53">
        <v>1.39</v>
      </c>
      <c r="E53">
        <v>1.72</v>
      </c>
      <c r="F53" t="s">
        <v>97</v>
      </c>
      <c r="G53" t="s">
        <v>98</v>
      </c>
    </row>
    <row r="54" spans="1:7">
      <c r="A54" t="s">
        <v>99</v>
      </c>
      <c r="B54">
        <v>5.25</v>
      </c>
      <c r="C54">
        <v>0.81</v>
      </c>
      <c r="D54">
        <v>1.43</v>
      </c>
      <c r="E54">
        <v>2.5</v>
      </c>
      <c r="F54" t="s">
        <v>9</v>
      </c>
      <c r="G54" t="s">
        <v>9</v>
      </c>
    </row>
    <row r="55" spans="1:7">
      <c r="A55" t="s">
        <v>100</v>
      </c>
      <c r="B55">
        <v>2.74</v>
      </c>
      <c r="C55">
        <v>1.1499999999999999</v>
      </c>
      <c r="D55">
        <v>1.45</v>
      </c>
      <c r="E55">
        <v>1.83</v>
      </c>
      <c r="F55" t="s">
        <v>101</v>
      </c>
      <c r="G55" t="s">
        <v>35</v>
      </c>
    </row>
    <row r="56" spans="1:7">
      <c r="A56" t="s">
        <v>102</v>
      </c>
      <c r="B56">
        <v>3.04</v>
      </c>
      <c r="C56">
        <v>0.59</v>
      </c>
      <c r="D56">
        <v>1.54</v>
      </c>
      <c r="E56">
        <v>4.05</v>
      </c>
      <c r="F56" t="s">
        <v>103</v>
      </c>
      <c r="G56" t="s">
        <v>35</v>
      </c>
    </row>
    <row r="57" spans="1:7">
      <c r="A57" t="s">
        <v>104</v>
      </c>
      <c r="B57">
        <v>4.95</v>
      </c>
      <c r="C57">
        <v>0.91</v>
      </c>
      <c r="D57">
        <v>1.65</v>
      </c>
      <c r="E57">
        <v>2.99</v>
      </c>
      <c r="F57" t="s">
        <v>9</v>
      </c>
      <c r="G57" t="s">
        <v>9</v>
      </c>
    </row>
    <row r="58" spans="1:7">
      <c r="A58" t="s">
        <v>105</v>
      </c>
      <c r="B58">
        <v>3.48</v>
      </c>
      <c r="C58">
        <v>0.79</v>
      </c>
      <c r="D58">
        <v>1.85</v>
      </c>
      <c r="E58">
        <v>4.32</v>
      </c>
      <c r="F58" t="s">
        <v>9</v>
      </c>
      <c r="G58" t="s">
        <v>9</v>
      </c>
    </row>
    <row r="59" spans="1:7">
      <c r="A59" t="s">
        <v>106</v>
      </c>
      <c r="B59">
        <v>1.22</v>
      </c>
      <c r="C59">
        <v>2.4700000000000002</v>
      </c>
      <c r="D59">
        <v>27.15</v>
      </c>
      <c r="E59">
        <v>299.04000000000002</v>
      </c>
      <c r="F59" t="s">
        <v>9</v>
      </c>
      <c r="G59" t="s">
        <v>9</v>
      </c>
    </row>
    <row r="60" spans="1:7">
      <c r="A60" s="41" t="s">
        <v>107</v>
      </c>
    </row>
    <row r="61" spans="1:7">
      <c r="A61" s="41" t="s">
        <v>57</v>
      </c>
    </row>
    <row r="62" spans="1:7">
      <c r="A62" t="s">
        <v>108</v>
      </c>
      <c r="B62">
        <v>2.56</v>
      </c>
      <c r="C62">
        <v>0.44</v>
      </c>
      <c r="D62">
        <v>1.4</v>
      </c>
      <c r="E62">
        <v>4.42</v>
      </c>
      <c r="F62" t="s">
        <v>109</v>
      </c>
      <c r="G62" t="s">
        <v>7</v>
      </c>
    </row>
    <row r="63" spans="1:7">
      <c r="A63" t="s">
        <v>110</v>
      </c>
      <c r="B63">
        <v>10.02</v>
      </c>
      <c r="C63">
        <v>1.27</v>
      </c>
      <c r="D63">
        <v>1.71</v>
      </c>
      <c r="E63">
        <v>2.29</v>
      </c>
      <c r="F63" t="s">
        <v>71</v>
      </c>
      <c r="G63" t="s">
        <v>7</v>
      </c>
    </row>
    <row r="64" spans="1:7">
      <c r="A64" t="s">
        <v>111</v>
      </c>
      <c r="B64">
        <v>4.28</v>
      </c>
      <c r="C64">
        <v>1</v>
      </c>
      <c r="D64">
        <v>2</v>
      </c>
      <c r="E64">
        <v>3.98</v>
      </c>
      <c r="F64" t="s">
        <v>9</v>
      </c>
      <c r="G64" t="s">
        <v>9</v>
      </c>
    </row>
    <row r="65" spans="1:7">
      <c r="A65" t="s">
        <v>112</v>
      </c>
      <c r="B65">
        <v>4.0599999999999996</v>
      </c>
      <c r="C65">
        <v>0.99</v>
      </c>
      <c r="D65">
        <v>2.04</v>
      </c>
      <c r="E65">
        <v>4.21</v>
      </c>
      <c r="F65" t="s">
        <v>113</v>
      </c>
      <c r="G65" t="s">
        <v>91</v>
      </c>
    </row>
    <row r="66" spans="1:7">
      <c r="A66" t="s">
        <v>114</v>
      </c>
      <c r="B66">
        <v>15.42</v>
      </c>
      <c r="C66">
        <v>1.92</v>
      </c>
      <c r="D66">
        <v>2.31</v>
      </c>
      <c r="E66">
        <v>2.78</v>
      </c>
      <c r="F66" t="s">
        <v>9</v>
      </c>
      <c r="G66" t="s">
        <v>9</v>
      </c>
    </row>
    <row r="67" spans="1:7">
      <c r="A67" t="s">
        <v>115</v>
      </c>
      <c r="B67">
        <v>5.08</v>
      </c>
      <c r="C67">
        <v>1.47</v>
      </c>
      <c r="D67">
        <v>2.62</v>
      </c>
      <c r="E67">
        <v>4.68</v>
      </c>
      <c r="F67" t="s">
        <v>9</v>
      </c>
      <c r="G67" t="s">
        <v>9</v>
      </c>
    </row>
    <row r="68" spans="1:7">
      <c r="A68" t="s">
        <v>116</v>
      </c>
      <c r="B68">
        <v>2.4900000000000002</v>
      </c>
      <c r="C68">
        <v>0.88</v>
      </c>
      <c r="D68">
        <v>2.86</v>
      </c>
      <c r="E68">
        <v>9.35</v>
      </c>
      <c r="F68" t="s">
        <v>117</v>
      </c>
      <c r="G68" t="s">
        <v>26</v>
      </c>
    </row>
    <row r="69" spans="1:7">
      <c r="A69" t="s">
        <v>118</v>
      </c>
      <c r="B69">
        <v>5.96</v>
      </c>
      <c r="C69">
        <v>2.11</v>
      </c>
      <c r="D69">
        <v>3.46</v>
      </c>
      <c r="E69">
        <v>5.68</v>
      </c>
      <c r="F69" t="s">
        <v>9</v>
      </c>
      <c r="G69" t="s">
        <v>9</v>
      </c>
    </row>
    <row r="70" spans="1:7">
      <c r="A70" t="s">
        <v>119</v>
      </c>
      <c r="B70">
        <v>3.54</v>
      </c>
      <c r="C70">
        <v>1.78</v>
      </c>
      <c r="D70">
        <v>4.09</v>
      </c>
      <c r="E70">
        <v>9.42</v>
      </c>
      <c r="F70" t="s">
        <v>9</v>
      </c>
      <c r="G70" t="s">
        <v>9</v>
      </c>
    </row>
    <row r="71" spans="1:7">
      <c r="A71" t="s">
        <v>120</v>
      </c>
      <c r="B71">
        <v>4.01</v>
      </c>
      <c r="C71">
        <v>2.19</v>
      </c>
      <c r="D71">
        <v>4.57</v>
      </c>
      <c r="E71">
        <v>9.57</v>
      </c>
      <c r="F71" t="s">
        <v>9</v>
      </c>
      <c r="G71" t="s">
        <v>9</v>
      </c>
    </row>
    <row r="72" spans="1:7">
      <c r="A72" t="s">
        <v>121</v>
      </c>
      <c r="B72">
        <v>4.66</v>
      </c>
      <c r="C72">
        <v>2.95</v>
      </c>
      <c r="D72">
        <v>5.56</v>
      </c>
      <c r="E72">
        <v>10.5</v>
      </c>
      <c r="F72" t="s">
        <v>9</v>
      </c>
    </row>
    <row r="73" spans="1:7">
      <c r="A73" t="s">
        <v>122</v>
      </c>
      <c r="B73">
        <v>2.11</v>
      </c>
      <c r="C73">
        <v>1.39</v>
      </c>
      <c r="D73">
        <v>5.62</v>
      </c>
      <c r="E73">
        <v>22.6</v>
      </c>
      <c r="F73" t="s">
        <v>9</v>
      </c>
      <c r="G73" t="s">
        <v>9</v>
      </c>
    </row>
    <row r="74" spans="1:7">
      <c r="A74" t="s">
        <v>133</v>
      </c>
      <c r="B74">
        <v>1.19</v>
      </c>
      <c r="C74">
        <v>0.52</v>
      </c>
      <c r="D74">
        <v>6.12</v>
      </c>
      <c r="E74">
        <v>72.7</v>
      </c>
      <c r="F74" t="s">
        <v>71</v>
      </c>
      <c r="G74" t="s">
        <v>12</v>
      </c>
    </row>
    <row r="75" spans="1:7">
      <c r="A75" t="s">
        <v>134</v>
      </c>
      <c r="B75">
        <v>4.74</v>
      </c>
      <c r="C75">
        <v>3.33</v>
      </c>
      <c r="D75">
        <v>6.19</v>
      </c>
      <c r="E75">
        <v>11.5</v>
      </c>
      <c r="F75" t="s">
        <v>135</v>
      </c>
      <c r="G75" t="s">
        <v>7</v>
      </c>
    </row>
    <row r="76" spans="1:7">
      <c r="A76" t="s">
        <v>136</v>
      </c>
      <c r="B76">
        <v>1.99</v>
      </c>
      <c r="C76">
        <v>1.48</v>
      </c>
      <c r="D76">
        <v>6.85</v>
      </c>
      <c r="E76">
        <v>31.6</v>
      </c>
      <c r="F76" t="s">
        <v>137</v>
      </c>
      <c r="G76" t="s">
        <v>137</v>
      </c>
    </row>
    <row r="77" spans="1:7">
      <c r="A77" t="s">
        <v>138</v>
      </c>
      <c r="B77">
        <v>3.52</v>
      </c>
      <c r="C77">
        <v>3.08</v>
      </c>
      <c r="D77">
        <v>7.08</v>
      </c>
      <c r="E77">
        <v>16.3</v>
      </c>
      <c r="F77" t="s">
        <v>12</v>
      </c>
      <c r="G77" t="s">
        <v>5</v>
      </c>
    </row>
    <row r="78" spans="1:7">
      <c r="A78" t="s">
        <v>139</v>
      </c>
      <c r="B78">
        <v>5.53</v>
      </c>
      <c r="C78">
        <v>4.43</v>
      </c>
      <c r="D78">
        <v>7.22</v>
      </c>
      <c r="E78">
        <v>12.3</v>
      </c>
      <c r="F78" t="s">
        <v>9</v>
      </c>
      <c r="G78" t="s">
        <v>9</v>
      </c>
    </row>
    <row r="79" spans="1:7">
      <c r="A79" t="s">
        <v>140</v>
      </c>
      <c r="B79">
        <v>3.15</v>
      </c>
      <c r="C79">
        <v>3.06</v>
      </c>
      <c r="D79">
        <v>7.81</v>
      </c>
      <c r="E79">
        <v>19.899999999999999</v>
      </c>
      <c r="F79" t="s">
        <v>141</v>
      </c>
      <c r="G79" t="s">
        <v>85</v>
      </c>
    </row>
    <row r="80" spans="1:7">
      <c r="A80" t="s">
        <v>142</v>
      </c>
      <c r="B80">
        <v>4.87</v>
      </c>
      <c r="C80">
        <v>4.74</v>
      </c>
      <c r="D80">
        <v>8.68</v>
      </c>
      <c r="E80">
        <v>15.9</v>
      </c>
      <c r="F80" t="s">
        <v>9</v>
      </c>
      <c r="G80" t="s">
        <v>9</v>
      </c>
    </row>
    <row r="81" spans="1:7">
      <c r="A81" t="s">
        <v>143</v>
      </c>
      <c r="B81">
        <v>2.34</v>
      </c>
      <c r="C81">
        <v>2.5</v>
      </c>
      <c r="D81">
        <v>8.8000000000000007</v>
      </c>
      <c r="E81">
        <v>30.9</v>
      </c>
      <c r="F81" t="s">
        <v>9</v>
      </c>
      <c r="G81" t="s">
        <v>9</v>
      </c>
    </row>
    <row r="82" spans="1:7">
      <c r="A82" t="s">
        <v>144</v>
      </c>
      <c r="B82">
        <v>3.67</v>
      </c>
      <c r="C82">
        <v>4.0199999999999996</v>
      </c>
      <c r="D82">
        <v>8.9700000000000006</v>
      </c>
      <c r="E82">
        <v>20</v>
      </c>
      <c r="F82" t="s">
        <v>9</v>
      </c>
      <c r="G82" t="s">
        <v>9</v>
      </c>
    </row>
    <row r="83" spans="1:7">
      <c r="A83" t="s">
        <v>145</v>
      </c>
      <c r="B83">
        <v>4.21</v>
      </c>
      <c r="C83">
        <v>4.57</v>
      </c>
      <c r="D83">
        <v>9.2100000000000009</v>
      </c>
      <c r="E83">
        <v>18.600000000000001</v>
      </c>
      <c r="F83" t="s">
        <v>141</v>
      </c>
      <c r="G83" t="s">
        <v>7</v>
      </c>
    </row>
    <row r="84" spans="1:7">
      <c r="A84" t="s">
        <v>146</v>
      </c>
      <c r="B84">
        <v>1.27</v>
      </c>
      <c r="C84">
        <v>1</v>
      </c>
      <c r="D84">
        <v>10.25</v>
      </c>
      <c r="E84">
        <v>104.8</v>
      </c>
      <c r="F84" t="s">
        <v>147</v>
      </c>
      <c r="G84" t="s">
        <v>148</v>
      </c>
    </row>
    <row r="85" spans="1:7">
      <c r="A85" t="s">
        <v>108</v>
      </c>
      <c r="B85">
        <v>2.56</v>
      </c>
      <c r="C85">
        <v>0.44</v>
      </c>
      <c r="D85">
        <v>1.4</v>
      </c>
      <c r="E85">
        <v>4.42</v>
      </c>
      <c r="F85" t="s">
        <v>109</v>
      </c>
      <c r="G85" t="s">
        <v>7</v>
      </c>
    </row>
    <row r="86" spans="1:7">
      <c r="A86" t="s">
        <v>149</v>
      </c>
      <c r="B86">
        <v>5.81</v>
      </c>
      <c r="C86">
        <v>6.17</v>
      </c>
      <c r="D86">
        <v>10.26</v>
      </c>
      <c r="E86">
        <v>17</v>
      </c>
      <c r="F86" t="s">
        <v>150</v>
      </c>
      <c r="G86" t="s">
        <v>151</v>
      </c>
    </row>
    <row r="87" spans="1:7">
      <c r="A87" t="s">
        <v>152</v>
      </c>
      <c r="B87">
        <v>2.78</v>
      </c>
      <c r="C87">
        <v>4.51</v>
      </c>
      <c r="D87">
        <v>12.99</v>
      </c>
      <c r="E87">
        <v>37.5</v>
      </c>
      <c r="F87" t="s">
        <v>153</v>
      </c>
      <c r="G87" t="s">
        <v>7</v>
      </c>
    </row>
    <row r="88" spans="1:7">
      <c r="A88" t="s">
        <v>154</v>
      </c>
      <c r="B88">
        <v>1.57</v>
      </c>
      <c r="C88">
        <v>2.0699999999999998</v>
      </c>
      <c r="D88">
        <v>13.72</v>
      </c>
      <c r="E88" t="s">
        <v>155</v>
      </c>
      <c r="F88" t="s">
        <v>156</v>
      </c>
      <c r="G88" t="s">
        <v>23</v>
      </c>
    </row>
    <row r="89" spans="1:7">
      <c r="A89" t="s">
        <v>157</v>
      </c>
      <c r="B89">
        <v>2.87</v>
      </c>
      <c r="C89">
        <v>6.71</v>
      </c>
      <c r="D89">
        <v>18.72</v>
      </c>
      <c r="E89">
        <v>52.2</v>
      </c>
      <c r="F89" t="s">
        <v>117</v>
      </c>
      <c r="G89" t="s">
        <v>7</v>
      </c>
    </row>
    <row r="90" spans="1:7">
      <c r="A90" t="s">
        <v>158</v>
      </c>
      <c r="B90">
        <v>1.1399999999999999</v>
      </c>
      <c r="C90">
        <v>1.33</v>
      </c>
      <c r="D90">
        <v>26.53</v>
      </c>
      <c r="E90" t="s">
        <v>155</v>
      </c>
      <c r="F90" t="s">
        <v>159</v>
      </c>
      <c r="G90" t="s">
        <v>160</v>
      </c>
    </row>
    <row r="91" spans="1:7">
      <c r="A91" t="s">
        <v>161</v>
      </c>
      <c r="B91">
        <v>1.85</v>
      </c>
      <c r="C91">
        <v>13.36</v>
      </c>
      <c r="D91">
        <v>65.849999999999994</v>
      </c>
      <c r="E91">
        <v>324.5</v>
      </c>
      <c r="F91" t="s">
        <v>117</v>
      </c>
      <c r="G91" t="s">
        <v>162</v>
      </c>
    </row>
  </sheetData>
  <sheetProtection sheet="1" objects="1" scenarios="1"/>
  <mergeCells count="2">
    <mergeCell ref="B2:E2"/>
    <mergeCell ref="F2:G2"/>
  </mergeCell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election activeCell="B6" sqref="B6"/>
    </sheetView>
  </sheetViews>
  <sheetFormatPr baseColWidth="10" defaultColWidth="7.42578125" defaultRowHeight="14"/>
  <sheetData>
    <row r="1" spans="1:16">
      <c r="A1" s="15" t="s">
        <v>164</v>
      </c>
      <c r="B1" s="15"/>
      <c r="C1" s="17"/>
      <c r="D1" s="15"/>
      <c r="E1" s="15"/>
      <c r="F1" s="15"/>
    </row>
    <row r="2" spans="1:16">
      <c r="A2" s="15" t="s">
        <v>126</v>
      </c>
      <c r="B2" s="15"/>
      <c r="C2" s="17"/>
      <c r="D2" s="15"/>
      <c r="E2" s="15"/>
      <c r="F2" s="15"/>
      <c r="G2" s="15"/>
      <c r="H2" s="18"/>
      <c r="I2" s="15"/>
      <c r="J2" s="15"/>
      <c r="K2" s="15"/>
      <c r="L2" s="15"/>
      <c r="M2" s="15"/>
      <c r="N2" s="15"/>
      <c r="O2" s="15"/>
      <c r="P2" s="15"/>
    </row>
    <row r="3" spans="1:16">
      <c r="A3" s="15" t="s">
        <v>125</v>
      </c>
      <c r="G3" s="15"/>
      <c r="H3" s="18"/>
      <c r="I3" s="15"/>
      <c r="J3" s="15"/>
      <c r="K3" s="15"/>
      <c r="L3" s="15"/>
      <c r="M3" s="15"/>
      <c r="N3" s="15"/>
      <c r="O3" s="15"/>
      <c r="P3" s="15"/>
    </row>
    <row r="4" spans="1:16" ht="45">
      <c r="A4" s="19" t="s">
        <v>124</v>
      </c>
      <c r="B4" s="19" t="s">
        <v>173</v>
      </c>
      <c r="C4" s="20" t="s">
        <v>174</v>
      </c>
      <c r="D4" s="19" t="s">
        <v>175</v>
      </c>
      <c r="E4" s="19" t="s">
        <v>176</v>
      </c>
      <c r="F4" s="19" t="s">
        <v>177</v>
      </c>
      <c r="G4" s="19" t="s">
        <v>178</v>
      </c>
      <c r="H4" s="21"/>
      <c r="I4" s="19"/>
      <c r="J4" s="19"/>
      <c r="K4" s="19"/>
      <c r="L4" s="19"/>
      <c r="M4" s="19"/>
      <c r="N4" s="19"/>
      <c r="O4" s="19"/>
      <c r="P4" s="19"/>
    </row>
    <row r="5" spans="1:16" ht="15">
      <c r="A5" s="42" t="str">
        <f>"LC"&amp;TEXT(C5*100,0)</f>
        <v>LC50</v>
      </c>
      <c r="B5" s="14">
        <f>10^G5</f>
        <v>4.0337396307471556E-3</v>
      </c>
      <c r="C5" s="28">
        <v>0.5</v>
      </c>
      <c r="D5" s="10" t="s">
        <v>181</v>
      </c>
      <c r="E5" s="10">
        <f>IF(C5="",NA(),NORMSINV(C5))</f>
        <v>0</v>
      </c>
      <c r="F5" s="26">
        <f>IF(C5="",NA(),E5+5)</f>
        <v>5</v>
      </c>
      <c r="G5" s="27">
        <f>TREND(INDEX(logdose,1):INDEX(logdose,COUNT(logdose)),INDEX(probits,1):INDEX(probits,COUNT(probits)),F5,TRUE)</f>
        <v>-2.3942921379971067</v>
      </c>
      <c r="H5" s="15" t="str">
        <f>"Probits vs logdose "&amp;A5&amp;" at X"</f>
        <v>Probits vs logdose LC50 at X</v>
      </c>
      <c r="I5" s="19"/>
      <c r="J5" s="19"/>
      <c r="K5" s="19"/>
      <c r="L5" s="19"/>
      <c r="M5" s="19"/>
      <c r="N5" s="19"/>
      <c r="O5" s="19"/>
      <c r="P5" s="19"/>
    </row>
    <row r="6" spans="1:16">
      <c r="A6" s="22"/>
      <c r="B6" s="53">
        <v>3.333E-3</v>
      </c>
      <c r="C6" s="54">
        <v>0.13750000000000001</v>
      </c>
      <c r="D6" s="11">
        <f t="shared" ref="D6:D16" si="0">IF(dose="",NA(),LOG(B6))</f>
        <v>-2.4771646863394698</v>
      </c>
      <c r="E6" s="1">
        <f t="shared" ref="E6:E16" si="1">IF(pctmort="",NA(),NORMSINV(C6))</f>
        <v>-1.091620367434168</v>
      </c>
      <c r="F6" s="2">
        <f t="shared" ref="F6:F16" si="2">IF(pctmort="",NA(),E6+5)</f>
        <v>3.9083796325658318</v>
      </c>
      <c r="G6" s="7">
        <f>IF(pctmort="",NA(),TREND(INDEX(logdose,1):INDEX(logdose,COUNT(logdose)),INDEX(probits,1):INDEX(probits,COUNT(probits)),F6,TRUE))</f>
        <v>-2.4548456463108472</v>
      </c>
      <c r="H6" s="18"/>
      <c r="I6" s="15"/>
      <c r="J6" s="15"/>
      <c r="K6" s="15"/>
      <c r="L6" s="15"/>
      <c r="M6" s="15"/>
      <c r="N6" s="15"/>
      <c r="O6" s="15"/>
      <c r="P6" s="15"/>
    </row>
    <row r="7" spans="1:16">
      <c r="A7" s="22"/>
      <c r="B7" s="55">
        <v>4.1660000000000004E-3</v>
      </c>
      <c r="C7" s="56">
        <v>0.43119999999999997</v>
      </c>
      <c r="D7" s="12">
        <f t="shared" si="0"/>
        <v>-2.3802807343882728</v>
      </c>
      <c r="E7" s="3">
        <f t="shared" si="1"/>
        <v>-0.17331987769005144</v>
      </c>
      <c r="F7" s="5">
        <f t="shared" si="2"/>
        <v>4.8266801223099485</v>
      </c>
      <c r="G7" s="8">
        <f>IF(pctmort="",NA(),TREND(INDEX(logdose,1):INDEX(logdose,COUNT(logdose)),INDEX(probits,1):INDEX(probits,COUNT(probits)),F7,TRUE))</f>
        <v>-2.4039064022301107</v>
      </c>
      <c r="H7" s="18"/>
      <c r="I7" s="15"/>
      <c r="J7" s="15"/>
      <c r="K7" s="15"/>
      <c r="L7" s="15"/>
      <c r="M7" s="15"/>
      <c r="N7" s="15"/>
      <c r="O7" s="15"/>
      <c r="P7" s="15"/>
    </row>
    <row r="8" spans="1:16">
      <c r="A8" s="22"/>
      <c r="B8" s="55">
        <v>4.5830000000000003E-3</v>
      </c>
      <c r="C8" s="56">
        <v>0.77010000000000001</v>
      </c>
      <c r="D8" s="12">
        <f t="shared" si="0"/>
        <v>-2.3388501427552133</v>
      </c>
      <c r="E8" s="3">
        <f t="shared" si="1"/>
        <v>0.7391762178696043</v>
      </c>
      <c r="F8" s="5">
        <f t="shared" si="2"/>
        <v>5.7391762178696046</v>
      </c>
      <c r="G8" s="8">
        <f>IF(pctmort="",NA(),TREND(INDEX(logdose,1):INDEX(logdose,COUNT(logdose)),INDEX(probits,1):INDEX(probits,COUNT(probits)),F8,TRUE))</f>
        <v>-2.3532891349482603</v>
      </c>
      <c r="H8" s="18"/>
      <c r="I8" s="15"/>
      <c r="J8" s="15"/>
      <c r="K8" s="15"/>
      <c r="L8" s="15"/>
      <c r="M8" s="15"/>
      <c r="N8" s="15"/>
      <c r="O8" s="15"/>
      <c r="P8" s="15"/>
    </row>
    <row r="9" spans="1:16">
      <c r="A9" s="22"/>
      <c r="B9" s="55">
        <v>5.0000000000000001E-3</v>
      </c>
      <c r="C9" s="56">
        <v>0.97530000000000006</v>
      </c>
      <c r="D9" s="12">
        <f t="shared" si="0"/>
        <v>-2.3010299956639813</v>
      </c>
      <c r="E9" s="3">
        <f t="shared" si="1"/>
        <v>1.9651230274150542</v>
      </c>
      <c r="F9" s="5">
        <f t="shared" si="2"/>
        <v>6.9651230274150544</v>
      </c>
      <c r="G9" s="8">
        <f>IF(pctmort="",NA(),TREND(INDEX(logdose,1):INDEX(logdose,COUNT(logdose)),INDEX(probits,1):INDEX(probits,COUNT(probits)),F9,TRUE))</f>
        <v>-2.2852843756577181</v>
      </c>
      <c r="H9" s="18"/>
      <c r="I9" s="15"/>
      <c r="J9" s="15"/>
      <c r="K9" s="15"/>
      <c r="L9" s="15"/>
      <c r="M9" s="15"/>
      <c r="N9" s="15"/>
      <c r="O9" s="15"/>
      <c r="P9" s="15"/>
    </row>
    <row r="10" spans="1:16">
      <c r="A10" s="22"/>
      <c r="B10" s="55"/>
      <c r="C10" s="47"/>
      <c r="D10" s="12" t="e">
        <f t="shared" si="0"/>
        <v>#N/A</v>
      </c>
      <c r="E10" s="3" t="e">
        <f t="shared" si="1"/>
        <v>#N/A</v>
      </c>
      <c r="F10" s="5" t="e">
        <f t="shared" si="2"/>
        <v>#N/A</v>
      </c>
      <c r="G10" s="8" t="e">
        <f>IF(pctmort="",NA(),TREND(INDEX(logdose,1):INDEX(logdose,COUNT(logdose)),INDEX(probits,1):INDEX(probits,COUNT(probits)),F10,TRUE))</f>
        <v>#N/A</v>
      </c>
      <c r="H10" s="18"/>
      <c r="I10" s="15"/>
      <c r="J10" s="15"/>
      <c r="K10" s="15"/>
      <c r="L10" s="15"/>
      <c r="M10" s="15"/>
      <c r="N10" s="15"/>
      <c r="O10" s="15"/>
      <c r="P10" s="15"/>
    </row>
    <row r="11" spans="1:16">
      <c r="A11" s="18"/>
      <c r="B11" s="55"/>
      <c r="C11" s="47"/>
      <c r="D11" s="12" t="e">
        <f t="shared" si="0"/>
        <v>#N/A</v>
      </c>
      <c r="E11" s="3" t="e">
        <f t="shared" si="1"/>
        <v>#N/A</v>
      </c>
      <c r="F11" s="5" t="e">
        <f t="shared" si="2"/>
        <v>#N/A</v>
      </c>
      <c r="G11" s="8" t="e">
        <f>IF(pctmort="",NA(),TREND(INDEX(logdose,1):INDEX(logdose,COUNT(logdose)),INDEX(probits,1):INDEX(probits,COUNT(probits)),F11,TRUE))</f>
        <v>#N/A</v>
      </c>
      <c r="H11" s="18"/>
      <c r="I11" s="15"/>
      <c r="J11" s="15"/>
      <c r="K11" s="15"/>
      <c r="L11" s="15"/>
      <c r="M11" s="15"/>
      <c r="N11" s="15"/>
      <c r="O11" s="15"/>
      <c r="P11" s="15"/>
    </row>
    <row r="12" spans="1:16">
      <c r="A12" s="18"/>
      <c r="B12" s="55"/>
      <c r="C12" s="47"/>
      <c r="D12" s="12" t="e">
        <f t="shared" si="0"/>
        <v>#N/A</v>
      </c>
      <c r="E12" s="3" t="e">
        <f t="shared" si="1"/>
        <v>#N/A</v>
      </c>
      <c r="F12" s="5" t="e">
        <f t="shared" si="2"/>
        <v>#N/A</v>
      </c>
      <c r="G12" s="8" t="e">
        <f>IF(pctmort="",NA(),TREND(INDEX(logdose,1):INDEX(logdose,COUNT(logdose)),INDEX(probits,1):INDEX(probits,COUNT(probits)),F12,TRUE))</f>
        <v>#N/A</v>
      </c>
      <c r="H12" s="18"/>
      <c r="I12" s="15"/>
      <c r="J12" s="15"/>
      <c r="K12" s="15"/>
      <c r="L12" s="15"/>
      <c r="M12" s="15"/>
      <c r="N12" s="15"/>
      <c r="O12" s="15"/>
      <c r="P12" s="15"/>
    </row>
    <row r="13" spans="1:16">
      <c r="A13" s="18"/>
      <c r="B13" s="55"/>
      <c r="C13" s="57"/>
      <c r="D13" s="12" t="e">
        <f t="shared" si="0"/>
        <v>#N/A</v>
      </c>
      <c r="E13" s="3" t="e">
        <f t="shared" si="1"/>
        <v>#N/A</v>
      </c>
      <c r="F13" s="5" t="e">
        <f t="shared" si="2"/>
        <v>#N/A</v>
      </c>
      <c r="G13" s="8" t="e">
        <f>IF(pctmort="",NA(),TREND(INDEX(logdose,1):INDEX(logdose,COUNT(logdose)),INDEX(probits,1):INDEX(probits,COUNT(probits)),F13,TRUE))</f>
        <v>#N/A</v>
      </c>
      <c r="H13" s="18"/>
      <c r="I13" s="15"/>
      <c r="J13" s="15"/>
      <c r="K13" s="15"/>
      <c r="L13" s="15"/>
      <c r="M13" s="15"/>
      <c r="N13" s="15"/>
      <c r="O13" s="15"/>
      <c r="P13" s="15"/>
    </row>
    <row r="14" spans="1:16">
      <c r="A14" s="18"/>
      <c r="B14" s="55"/>
      <c r="C14" s="57"/>
      <c r="D14" s="12" t="e">
        <f t="shared" si="0"/>
        <v>#N/A</v>
      </c>
      <c r="E14" s="3" t="e">
        <f t="shared" si="1"/>
        <v>#N/A</v>
      </c>
      <c r="F14" s="5" t="e">
        <f t="shared" si="2"/>
        <v>#N/A</v>
      </c>
      <c r="G14" s="8" t="e">
        <f>IF(pctmort="",NA(),TREND(INDEX(logdose,1):INDEX(logdose,COUNT(logdose)),INDEX(probits,1):INDEX(probits,COUNT(probits)),F14,TRUE))</f>
        <v>#N/A</v>
      </c>
      <c r="H14" s="18"/>
      <c r="I14" s="15"/>
      <c r="J14" s="15"/>
      <c r="K14" s="15"/>
      <c r="L14" s="15"/>
      <c r="M14" s="15"/>
      <c r="N14" s="15"/>
      <c r="O14" s="15"/>
      <c r="P14" s="15"/>
    </row>
    <row r="15" spans="1:16">
      <c r="A15" s="18"/>
      <c r="B15" s="55"/>
      <c r="C15" s="57"/>
      <c r="D15" s="12" t="e">
        <f t="shared" si="0"/>
        <v>#N/A</v>
      </c>
      <c r="E15" s="3" t="e">
        <f t="shared" si="1"/>
        <v>#N/A</v>
      </c>
      <c r="F15" s="5" t="e">
        <f t="shared" si="2"/>
        <v>#N/A</v>
      </c>
      <c r="G15" s="8" t="e">
        <f>IF(pctmort="",NA(),TREND(INDEX(logdose,1):INDEX(logdose,COUNT(logdose)),INDEX(probits,1):INDEX(probits,COUNT(probits)),F15,TRUE))</f>
        <v>#N/A</v>
      </c>
      <c r="H15" s="18"/>
      <c r="I15" s="15"/>
      <c r="J15" s="15"/>
      <c r="K15" s="15"/>
      <c r="L15" s="15"/>
      <c r="M15" s="15"/>
      <c r="N15" s="15"/>
      <c r="O15" s="15"/>
      <c r="P15" s="15"/>
    </row>
    <row r="16" spans="1:16">
      <c r="A16" s="15"/>
      <c r="B16" s="58"/>
      <c r="C16" s="49"/>
      <c r="D16" s="13" t="e">
        <f t="shared" si="0"/>
        <v>#N/A</v>
      </c>
      <c r="E16" s="4" t="e">
        <f t="shared" si="1"/>
        <v>#N/A</v>
      </c>
      <c r="F16" s="6" t="e">
        <f t="shared" si="2"/>
        <v>#N/A</v>
      </c>
      <c r="G16" s="9" t="e">
        <f>IF(pctmort="",NA(),TREND(INDEX(logdose,1):INDEX(logdose,COUNT(logdose)),INDEX(probits,1):INDEX(probits,COUNT(probits)),F16,TRUE))</f>
        <v>#N/A</v>
      </c>
      <c r="H16" s="18"/>
      <c r="I16" s="15"/>
      <c r="J16" s="15"/>
      <c r="K16" s="15"/>
      <c r="L16" s="15"/>
      <c r="M16" s="15"/>
      <c r="N16" s="15"/>
      <c r="O16" s="15"/>
      <c r="P16" s="15"/>
    </row>
    <row r="17" spans="1:16">
      <c r="A17" s="15" t="s">
        <v>190</v>
      </c>
      <c r="B17" s="15"/>
      <c r="C17" s="25" t="s">
        <v>191</v>
      </c>
      <c r="D17" s="18"/>
      <c r="E17" s="15"/>
      <c r="F17" s="15"/>
      <c r="G17" s="15"/>
      <c r="H17" s="15"/>
      <c r="I17" s="15"/>
      <c r="J17" s="15"/>
      <c r="K17" s="15"/>
      <c r="L17" s="15"/>
      <c r="M17" s="15"/>
      <c r="N17" s="15"/>
      <c r="O17" s="15"/>
      <c r="P17" s="15"/>
    </row>
    <row r="18" spans="1:16">
      <c r="A18" s="15" t="s">
        <v>193</v>
      </c>
      <c r="B18" s="15">
        <f t="array" ref="B18:C22">LINEST(INDEX(nscores,1):INDEX(nscores,COUNT(nscores)),INDEX(logdose,1):INDEX(logdose,COUNT(logdose)),TRUE,TRUE)</f>
        <v>16.445751783219823</v>
      </c>
      <c r="C18" s="15">
        <v>39.407504437580094</v>
      </c>
      <c r="D18" s="15" t="s">
        <v>194</v>
      </c>
      <c r="E18" s="15"/>
      <c r="F18" s="15"/>
      <c r="G18" s="15"/>
      <c r="H18" s="15"/>
      <c r="I18" s="15"/>
      <c r="J18" s="15"/>
      <c r="K18" s="15"/>
      <c r="L18" s="15"/>
      <c r="M18" s="15"/>
      <c r="N18" s="15"/>
      <c r="O18" s="15"/>
      <c r="P18" s="15"/>
    </row>
    <row r="19" spans="1:16">
      <c r="A19" s="15" t="s">
        <v>196</v>
      </c>
      <c r="B19" s="15">
        <v>3.6063045372535973</v>
      </c>
      <c r="C19" s="15">
        <v>8.5658350044525804</v>
      </c>
      <c r="D19" s="15" t="s">
        <v>197</v>
      </c>
      <c r="E19" s="15"/>
      <c r="F19" s="15"/>
      <c r="G19" s="15"/>
      <c r="H19" s="15"/>
      <c r="I19" s="15"/>
      <c r="J19" s="15"/>
      <c r="K19" s="15"/>
      <c r="L19" s="15"/>
      <c r="M19" s="15"/>
      <c r="N19" s="15"/>
      <c r="O19" s="15"/>
      <c r="P19" s="15"/>
    </row>
    <row r="20" spans="1:16">
      <c r="A20" s="18" t="s">
        <v>199</v>
      </c>
      <c r="B20" s="15">
        <v>0.9122658362188989</v>
      </c>
      <c r="C20" s="15">
        <v>0.4735408105985377</v>
      </c>
      <c r="D20" s="15" t="s">
        <v>200</v>
      </c>
      <c r="E20" s="15"/>
      <c r="F20" s="15">
        <f>SQRT(B20)</f>
        <v>0.95512608393808351</v>
      </c>
      <c r="G20" s="15"/>
      <c r="H20" s="15"/>
      <c r="I20" s="15"/>
      <c r="J20" s="15"/>
      <c r="K20" s="15"/>
      <c r="L20" s="15"/>
      <c r="M20" s="15"/>
      <c r="N20" s="15"/>
      <c r="O20" s="15"/>
      <c r="P20" s="15"/>
    </row>
    <row r="21" spans="1:16">
      <c r="A21" s="18" t="s">
        <v>202</v>
      </c>
      <c r="B21" s="15">
        <v>20.796136804700719</v>
      </c>
      <c r="C21" s="15">
        <v>2</v>
      </c>
      <c r="D21" s="15" t="s">
        <v>203</v>
      </c>
      <c r="E21" s="15"/>
      <c r="F21" s="15"/>
      <c r="G21" s="15"/>
      <c r="H21" s="15"/>
      <c r="I21" s="15"/>
      <c r="J21" s="15"/>
      <c r="K21" s="15"/>
      <c r="L21" s="15"/>
      <c r="M21" s="15"/>
      <c r="N21" s="15"/>
      <c r="O21" s="15"/>
      <c r="P21" s="15"/>
    </row>
    <row r="22" spans="1:16">
      <c r="A22" s="18" t="s">
        <v>205</v>
      </c>
      <c r="B22" s="15">
        <v>4.6633444191001674</v>
      </c>
      <c r="C22" s="15">
        <v>0.44848179860464027</v>
      </c>
      <c r="D22" s="15" t="s">
        <v>206</v>
      </c>
      <c r="E22" s="15"/>
      <c r="F22" s="15"/>
      <c r="G22" s="15"/>
      <c r="H22" s="15"/>
      <c r="I22" s="15"/>
      <c r="J22" s="15"/>
      <c r="K22" s="15"/>
      <c r="L22" s="15"/>
      <c r="M22" s="15"/>
      <c r="N22" s="15"/>
      <c r="O22" s="15"/>
      <c r="P22" s="15"/>
    </row>
    <row r="23" spans="1:16">
      <c r="A23" s="18" t="s">
        <v>224</v>
      </c>
      <c r="B23" s="15"/>
      <c r="C23" s="15">
        <f>FDIST(B21,1,C21)</f>
        <v>4.4873916061916527E-2</v>
      </c>
      <c r="D23" s="18"/>
      <c r="E23" s="15"/>
      <c r="F23" s="15"/>
      <c r="G23" s="15"/>
      <c r="H23" s="15"/>
      <c r="I23" s="15"/>
      <c r="J23" s="15"/>
      <c r="K23" s="15"/>
      <c r="L23" s="15"/>
      <c r="M23" s="15"/>
      <c r="N23" s="15"/>
      <c r="O23" s="15"/>
      <c r="P23" s="15"/>
    </row>
    <row r="24" spans="1:16">
      <c r="A24" s="25" t="s">
        <v>229</v>
      </c>
      <c r="B24" s="15"/>
      <c r="C24" s="15"/>
      <c r="D24" s="15"/>
      <c r="E24" s="15"/>
      <c r="F24" s="15"/>
      <c r="G24" s="15"/>
      <c r="H24" s="15"/>
      <c r="I24" s="15"/>
      <c r="J24" s="15"/>
      <c r="K24" s="15"/>
      <c r="L24" s="15"/>
      <c r="M24" s="15"/>
      <c r="N24" s="15"/>
      <c r="O24" s="15"/>
      <c r="P24" s="15"/>
    </row>
    <row r="25" spans="1:16">
      <c r="A25" s="15"/>
      <c r="B25" s="15" t="s">
        <v>231</v>
      </c>
      <c r="C25" s="15" t="s">
        <v>232</v>
      </c>
      <c r="D25" s="18" t="s">
        <v>177</v>
      </c>
      <c r="E25" s="15"/>
      <c r="F25" s="15"/>
      <c r="G25" s="15"/>
      <c r="H25" s="18"/>
      <c r="I25" s="15"/>
      <c r="J25" s="15"/>
      <c r="K25" s="15"/>
      <c r="L25" s="15"/>
      <c r="M25" s="15"/>
      <c r="N25" s="15"/>
      <c r="O25" s="15"/>
      <c r="P25" s="15"/>
    </row>
    <row r="26" spans="1:16">
      <c r="A26" s="15" t="s">
        <v>234</v>
      </c>
      <c r="B26" s="52">
        <v>0.02</v>
      </c>
      <c r="C26" s="24">
        <f>NORMSDIST(C18+B18*LOG(B26))</f>
        <v>1</v>
      </c>
      <c r="D26" s="15">
        <f>C18+B18*LOG(B26)</f>
        <v>11.466665459134024</v>
      </c>
      <c r="E26" s="15"/>
      <c r="F26" s="15"/>
      <c r="G26" s="15"/>
      <c r="H26" s="18"/>
      <c r="I26" s="15"/>
      <c r="J26" s="15"/>
      <c r="K26" s="15"/>
      <c r="L26" s="15"/>
      <c r="M26" s="15"/>
      <c r="N26" s="15"/>
      <c r="O26" s="15"/>
      <c r="P26" s="15"/>
    </row>
    <row r="27" spans="1:16">
      <c r="A27" s="15"/>
      <c r="B27" s="78"/>
      <c r="C27" s="24"/>
      <c r="D27" s="15"/>
      <c r="E27" s="15"/>
      <c r="F27" s="15"/>
      <c r="G27" s="15"/>
      <c r="H27" s="18"/>
      <c r="I27" s="15"/>
      <c r="J27" s="15"/>
      <c r="K27" s="15"/>
      <c r="L27" s="15"/>
      <c r="M27" s="15"/>
      <c r="N27" s="15"/>
      <c r="O27" s="15"/>
      <c r="P27" s="15"/>
    </row>
    <row r="28" spans="1:16">
      <c r="A28" s="15" t="s">
        <v>127</v>
      </c>
      <c r="B28" s="78"/>
      <c r="C28" s="24"/>
      <c r="D28" s="15"/>
      <c r="E28" s="15"/>
      <c r="F28" s="15"/>
      <c r="G28" s="15"/>
      <c r="H28" s="18"/>
      <c r="I28" s="15"/>
      <c r="J28" s="15"/>
      <c r="K28" s="15"/>
      <c r="L28" s="15"/>
      <c r="M28" s="15"/>
      <c r="N28" s="15"/>
      <c r="O28" s="15"/>
      <c r="P28" s="15"/>
    </row>
    <row r="30" spans="1:16">
      <c r="A30" s="18"/>
      <c r="B30" s="15"/>
      <c r="C30" s="17"/>
      <c r="D30" s="15"/>
      <c r="E30" s="15"/>
      <c r="F30" s="15"/>
      <c r="G30" s="15"/>
      <c r="H30" s="18"/>
      <c r="I30" s="15"/>
      <c r="J30" s="15"/>
      <c r="K30" s="15"/>
      <c r="L30" s="15"/>
      <c r="M30" s="15"/>
      <c r="N30" s="15"/>
      <c r="O30" s="15"/>
      <c r="P30" s="15"/>
    </row>
    <row r="31" spans="1:16">
      <c r="A31" s="18"/>
      <c r="B31" s="15"/>
      <c r="C31" s="17"/>
      <c r="D31" s="15"/>
      <c r="E31" s="15"/>
      <c r="F31" s="15"/>
      <c r="G31" s="15"/>
      <c r="H31" s="18"/>
      <c r="I31" s="15"/>
      <c r="J31" s="15"/>
      <c r="K31" s="15"/>
      <c r="L31" s="15"/>
      <c r="M31" s="15"/>
      <c r="N31" s="15"/>
      <c r="O31" s="15"/>
      <c r="P31" s="15"/>
    </row>
    <row r="32" spans="1:16">
      <c r="A32" s="18"/>
      <c r="B32" s="15"/>
      <c r="C32" s="17"/>
      <c r="D32" s="15"/>
      <c r="E32" s="15"/>
      <c r="F32" s="15"/>
      <c r="G32" s="15"/>
      <c r="H32" s="18"/>
      <c r="I32" s="15"/>
      <c r="J32" s="15"/>
      <c r="K32" s="15"/>
      <c r="L32" s="15"/>
      <c r="M32" s="15"/>
      <c r="N32" s="15"/>
      <c r="O32" s="15"/>
      <c r="P32" s="15"/>
    </row>
    <row r="33" spans="1:16">
      <c r="A33" s="18"/>
      <c r="B33" s="15"/>
      <c r="C33" s="17"/>
      <c r="D33" s="15"/>
      <c r="E33" s="15"/>
      <c r="F33" s="15"/>
      <c r="G33" s="15"/>
      <c r="H33" s="18"/>
      <c r="I33" s="15"/>
      <c r="J33" s="15"/>
      <c r="K33" s="15"/>
      <c r="L33" s="15"/>
      <c r="M33" s="15"/>
      <c r="N33" s="15"/>
      <c r="O33" s="15"/>
      <c r="P33" s="15"/>
    </row>
    <row r="34" spans="1:16">
      <c r="A34" s="18"/>
      <c r="B34" s="15"/>
      <c r="C34" s="17"/>
      <c r="D34" s="15"/>
      <c r="E34" s="15"/>
      <c r="F34" s="15"/>
      <c r="G34" s="15"/>
      <c r="H34" s="18"/>
      <c r="I34" s="15"/>
      <c r="J34" s="15"/>
      <c r="K34" s="15"/>
      <c r="L34" s="15"/>
      <c r="M34" s="15"/>
      <c r="N34" s="15"/>
      <c r="O34" s="15"/>
      <c r="P34" s="15"/>
    </row>
    <row r="35" spans="1:16">
      <c r="A35" s="18"/>
      <c r="B35" s="15"/>
      <c r="C35" s="17"/>
      <c r="D35" s="15"/>
      <c r="E35" s="15"/>
      <c r="F35" s="15"/>
      <c r="G35" s="15"/>
      <c r="H35" s="18"/>
      <c r="I35" s="15"/>
      <c r="J35" s="15"/>
      <c r="K35" s="15"/>
      <c r="L35" s="15"/>
      <c r="M35" s="15"/>
      <c r="N35" s="15"/>
      <c r="O35" s="15"/>
      <c r="P35" s="15"/>
    </row>
    <row r="36" spans="1:16">
      <c r="A36" s="18"/>
      <c r="B36" s="15"/>
      <c r="C36" s="17"/>
      <c r="D36" s="15"/>
      <c r="E36" s="15"/>
      <c r="F36" s="15"/>
      <c r="G36" s="15"/>
      <c r="H36" s="18"/>
      <c r="I36" s="15"/>
      <c r="J36" s="15"/>
      <c r="K36" s="15"/>
      <c r="L36" s="15"/>
      <c r="M36" s="15"/>
      <c r="N36" s="15"/>
      <c r="O36" s="15"/>
      <c r="P36" s="15"/>
    </row>
    <row r="37" spans="1:16">
      <c r="A37" s="18"/>
      <c r="B37" s="15"/>
      <c r="C37" s="17"/>
      <c r="D37" s="15"/>
      <c r="E37" s="15"/>
      <c r="F37" s="15"/>
      <c r="G37" s="15"/>
      <c r="H37" s="18"/>
      <c r="I37" s="15"/>
      <c r="J37" s="15"/>
      <c r="K37" s="15"/>
      <c r="L37" s="15"/>
      <c r="M37" s="15"/>
      <c r="N37" s="15"/>
      <c r="O37" s="15"/>
      <c r="P37" s="15"/>
    </row>
  </sheetData>
  <sheetProtection sheet="1" objects="1" scenarios="1"/>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20</vt:i4>
      </vt:variant>
    </vt:vector>
  </HeadingPairs>
  <TitlesOfParts>
    <vt:vector size="23" baseType="lpstr">
      <vt:lpstr>toxicity calculator</vt:lpstr>
      <vt:lpstr>Compound Data</vt:lpstr>
      <vt:lpstr>Probit Analysis</vt:lpstr>
      <vt:lpstr>AcPerHa</vt:lpstr>
      <vt:lpstr>Applied_Dose</vt:lpstr>
      <vt:lpstr>chartlabel</vt:lpstr>
      <vt:lpstr>dose</vt:lpstr>
      <vt:lpstr>factor</vt:lpstr>
      <vt:lpstr>FieldRate</vt:lpstr>
      <vt:lpstr>fit</vt:lpstr>
      <vt:lpstr>fitprobits</vt:lpstr>
      <vt:lpstr>halflife</vt:lpstr>
      <vt:lpstr>hrs</vt:lpstr>
      <vt:lpstr>LbsPerKg</vt:lpstr>
      <vt:lpstr>LCShown</vt:lpstr>
      <vt:lpstr>LD50</vt:lpstr>
      <vt:lpstr>logdose</vt:lpstr>
      <vt:lpstr>Newfactor</vt:lpstr>
      <vt:lpstr>nscores</vt:lpstr>
      <vt:lpstr>pctmort</vt:lpstr>
      <vt:lpstr>probits</vt:lpstr>
      <vt:lpstr>slope</vt:lpstr>
      <vt:lpstr>TofExposure</vt:lpstr>
    </vt:vector>
  </TitlesOfParts>
  <Company>UCR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Kirk Visscher</dc:creator>
  <cp:lastModifiedBy>Microsoft Office User</cp:lastModifiedBy>
  <dcterms:created xsi:type="dcterms:W3CDTF">1999-10-05T23:48:18Z</dcterms:created>
  <dcterms:modified xsi:type="dcterms:W3CDTF">2020-06-23T23:23:41Z</dcterms:modified>
</cp:coreProperties>
</file>